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L:\LC2014\"/>
    </mc:Choice>
  </mc:AlternateContent>
  <bookViews>
    <workbookView xWindow="0" yWindow="0" windowWidth="15480" windowHeight="9048" firstSheet="2" activeTab="6"/>
  </bookViews>
  <sheets>
    <sheet name="Skriveni" sheetId="37" state="hidden" r:id="rId1"/>
    <sheet name="Upute" sheetId="19" r:id="rId2"/>
    <sheet name="RefStr" sheetId="42" r:id="rId3"/>
    <sheet name="PRRAS" sheetId="1" r:id="rId4"/>
    <sheet name="NT" sheetId="39" r:id="rId5"/>
    <sheet name="RasF" sheetId="36" r:id="rId6"/>
    <sheet name="PVRIO" sheetId="33" r:id="rId7"/>
    <sheet name="Bil" sheetId="27" r:id="rId8"/>
    <sheet name="Obv" sheetId="30" r:id="rId9"/>
    <sheet name="SPRRAS" sheetId="50" r:id="rId10"/>
    <sheet name="Kont" sheetId="3" r:id="rId11"/>
    <sheet name="Sifre" sheetId="43" r:id="rId12"/>
    <sheet name="Prom" sheetId="46" r:id="rId13"/>
  </sheets>
  <definedNames>
    <definedName name="_xlnm.Print_Area" localSheetId="7">Bil!$A$2:$F$289</definedName>
    <definedName name="_xlnm.Print_Area" localSheetId="4">NT!$A$2:$D$411</definedName>
    <definedName name="_xlnm.Print_Area" localSheetId="8">Obv!$A$2:$D$110</definedName>
    <definedName name="_xlnm.Print_Area" localSheetId="12">Prom!$A$2:$C$22</definedName>
    <definedName name="_xlnm.Print_Area" localSheetId="3">PRRAS!$A$2:$F$916</definedName>
    <definedName name="_xlnm.Print_Area" localSheetId="6">PVRIO!$A$2:$E$55</definedName>
    <definedName name="_xlnm.Print_Area" localSheetId="5">RasF!$A$2:$F$148</definedName>
    <definedName name="_xlnm.Print_Area" localSheetId="2">RefStr!$A$2:$K$81</definedName>
    <definedName name="_xlnm.Print_Area" localSheetId="11">Sifre!$A$5:$H$191</definedName>
    <definedName name="_xlnm.Print_Area" localSheetId="9">SPRRAS!$A$2:$F$141</definedName>
    <definedName name="_xlnm.Print_Titles" localSheetId="7">Bil!$10:$10</definedName>
    <definedName name="_xlnm.Print_Titles" localSheetId="4">NT!$10:$10</definedName>
    <definedName name="_xlnm.Print_Titles" localSheetId="8">Obv!$10:$11</definedName>
    <definedName name="_xlnm.Print_Titles" localSheetId="3">PRRAS!$4:$5</definedName>
    <definedName name="_xlnm.Print_Titles" localSheetId="6">PVRIO!$10:$10</definedName>
    <definedName name="_xlnm.Print_Titles" localSheetId="5">RasF!$10:$11</definedName>
    <definedName name="_xlnm.Print_Titles" localSheetId="11">Sifre!$5:$5</definedName>
    <definedName name="_xlnm.Print_Titles" localSheetId="9">SPRRAS!$4:$5</definedName>
    <definedName name="Z_20966C26_2FB0_458A_A419_418535DD5D43_.wvu.Cols" localSheetId="4" hidden="1">NT!#REF!</definedName>
    <definedName name="Z_20966C26_2FB0_458A_A419_418535DD5D43_.wvu.Cols" localSheetId="8" hidden="1">Obv!#REF!</definedName>
    <definedName name="Z_20966C26_2FB0_458A_A419_418535DD5D43_.wvu.Cols" localSheetId="1" hidden="1">Upute!$C:$IV</definedName>
    <definedName name="Z_20966C26_2FB0_458A_A419_418535DD5D43_.wvu.PrintArea" localSheetId="4" hidden="1">NT!$A$2:$D$281</definedName>
    <definedName name="Z_20966C26_2FB0_458A_A419_418535DD5D43_.wvu.PrintArea" localSheetId="8" hidden="1">Obv!$A$3:$D$105</definedName>
    <definedName name="Z_20966C26_2FB0_458A_A419_418535DD5D43_.wvu.PrintTitles" localSheetId="4" hidden="1">NT!$10:$10</definedName>
    <definedName name="Z_20966C26_2FB0_458A_A419_418535DD5D43_.wvu.PrintTitles" localSheetId="8" hidden="1">Obv!$10:$10</definedName>
    <definedName name="Z_20966C26_2FB0_458A_A419_418535DD5D43_.wvu.Rows" localSheetId="4" hidden="1">NT!#REF!,NT!#REF!,NT!#REF!</definedName>
    <definedName name="Z_20966C26_2FB0_458A_A419_418535DD5D43_.wvu.Rows" localSheetId="8" hidden="1">Obv!#REF!,Obv!#REF!,Obv!#REF!</definedName>
    <definedName name="Z_20966C26_2FB0_458A_A419_418535DD5D43_.wvu.Rows" localSheetId="1" hidden="1">Upute!$22:$65536</definedName>
  </definedNames>
  <calcPr calcId="152511"/>
</workbook>
</file>

<file path=xl/calcChain.xml><?xml version="1.0" encoding="utf-8"?>
<calcChain xmlns="http://schemas.openxmlformats.org/spreadsheetml/2006/main">
  <c r="D14" i="1" l="1"/>
  <c r="C4" i="37" s="1"/>
  <c r="E14" i="1"/>
  <c r="D4" i="37" s="1"/>
  <c r="F27" i="3"/>
  <c r="E27" i="3" s="1"/>
  <c r="B27" i="3" s="1"/>
  <c r="F29" i="3"/>
  <c r="E29" i="3" s="1"/>
  <c r="B29" i="3" s="1"/>
  <c r="F30" i="3"/>
  <c r="E30" i="3" s="1"/>
  <c r="B30" i="3" s="1"/>
  <c r="H2" i="3"/>
  <c r="G12" i="3" s="1"/>
  <c r="F33" i="3"/>
  <c r="G33" i="3"/>
  <c r="H33" i="3"/>
  <c r="I33" i="3"/>
  <c r="F34" i="3"/>
  <c r="G34" i="3"/>
  <c r="H34" i="3"/>
  <c r="I34"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107" i="3"/>
  <c r="G107" i="3"/>
  <c r="F108" i="3"/>
  <c r="G108" i="3"/>
  <c r="F109" i="3"/>
  <c r="G109" i="3"/>
  <c r="F110" i="3"/>
  <c r="G110" i="3"/>
  <c r="F111" i="3"/>
  <c r="G111" i="3"/>
  <c r="F112" i="3"/>
  <c r="G112" i="3"/>
  <c r="E112" i="3" s="1"/>
  <c r="B112" i="3" s="1"/>
  <c r="F113" i="3"/>
  <c r="G113" i="3"/>
  <c r="F114" i="3"/>
  <c r="G114" i="3"/>
  <c r="F115" i="3"/>
  <c r="G115" i="3"/>
  <c r="F116" i="3"/>
  <c r="G116" i="3"/>
  <c r="F117" i="3"/>
  <c r="G117" i="3"/>
  <c r="F118" i="3"/>
  <c r="G118" i="3"/>
  <c r="F119" i="3"/>
  <c r="G119" i="3"/>
  <c r="F120" i="3"/>
  <c r="G120" i="3"/>
  <c r="F121" i="3"/>
  <c r="G121" i="3"/>
  <c r="F122" i="3"/>
  <c r="G122" i="3"/>
  <c r="F123" i="3"/>
  <c r="G123" i="3"/>
  <c r="F124" i="3"/>
  <c r="G124" i="3"/>
  <c r="F125" i="3"/>
  <c r="G125" i="3"/>
  <c r="F126" i="3"/>
  <c r="G126" i="3"/>
  <c r="F127" i="3"/>
  <c r="G127" i="3"/>
  <c r="F128" i="3"/>
  <c r="G128" i="3"/>
  <c r="F129" i="3"/>
  <c r="G129" i="3"/>
  <c r="F130" i="3"/>
  <c r="G130" i="3"/>
  <c r="F131" i="3"/>
  <c r="G131" i="3"/>
  <c r="F132" i="3"/>
  <c r="G132" i="3"/>
  <c r="F133" i="3"/>
  <c r="G133" i="3"/>
  <c r="F134" i="3"/>
  <c r="G134" i="3"/>
  <c r="F135" i="3"/>
  <c r="G135" i="3"/>
  <c r="F136" i="3"/>
  <c r="G136" i="3"/>
  <c r="F137" i="3"/>
  <c r="G137" i="3"/>
  <c r="F138" i="3"/>
  <c r="G138" i="3"/>
  <c r="F139" i="3"/>
  <c r="G139" i="3"/>
  <c r="F140" i="3"/>
  <c r="G140" i="3"/>
  <c r="F141" i="3"/>
  <c r="G141" i="3"/>
  <c r="F142" i="3"/>
  <c r="G142" i="3"/>
  <c r="F143" i="3"/>
  <c r="G143" i="3"/>
  <c r="F144" i="3"/>
  <c r="G144" i="3"/>
  <c r="F145" i="3"/>
  <c r="G145" i="3"/>
  <c r="F146" i="3"/>
  <c r="G146" i="3"/>
  <c r="F147" i="3"/>
  <c r="G147" i="3"/>
  <c r="F148" i="3"/>
  <c r="G148" i="3"/>
  <c r="F149" i="3"/>
  <c r="G149" i="3"/>
  <c r="F150" i="3"/>
  <c r="G150" i="3"/>
  <c r="F151" i="3"/>
  <c r="G151" i="3"/>
  <c r="F152" i="3"/>
  <c r="G152" i="3"/>
  <c r="F153" i="3"/>
  <c r="G153" i="3"/>
  <c r="F154" i="3"/>
  <c r="G154" i="3"/>
  <c r="F155" i="3"/>
  <c r="G155" i="3"/>
  <c r="F156" i="3"/>
  <c r="G156" i="3"/>
  <c r="F157" i="3"/>
  <c r="G157" i="3"/>
  <c r="F158" i="3"/>
  <c r="G158" i="3"/>
  <c r="F159" i="3"/>
  <c r="G159" i="3"/>
  <c r="F160" i="3"/>
  <c r="G160" i="3"/>
  <c r="F161" i="3"/>
  <c r="G161" i="3"/>
  <c r="F162" i="3"/>
  <c r="G162" i="3"/>
  <c r="H162" i="3"/>
  <c r="I162" i="3"/>
  <c r="F163" i="3"/>
  <c r="G163" i="3"/>
  <c r="H163" i="3"/>
  <c r="I163" i="3"/>
  <c r="C5" i="37"/>
  <c r="H5" i="37" s="1"/>
  <c r="D5" i="37"/>
  <c r="C6" i="37"/>
  <c r="D6" i="37"/>
  <c r="C7" i="37"/>
  <c r="D7" i="37"/>
  <c r="C8" i="37"/>
  <c r="D8" i="37"/>
  <c r="C9" i="37"/>
  <c r="D9" i="37"/>
  <c r="C10" i="37"/>
  <c r="D10" i="37"/>
  <c r="C11" i="37"/>
  <c r="D11" i="37"/>
  <c r="H11" i="37" s="1"/>
  <c r="C12" i="37"/>
  <c r="D12" i="37"/>
  <c r="C14" i="37"/>
  <c r="H14" i="37" s="1"/>
  <c r="D14" i="37"/>
  <c r="C15" i="37"/>
  <c r="D15" i="37"/>
  <c r="C16" i="37"/>
  <c r="D16" i="37"/>
  <c r="H16" i="37" s="1"/>
  <c r="C17" i="37"/>
  <c r="D17" i="37"/>
  <c r="C18" i="37"/>
  <c r="D18" i="37"/>
  <c r="C20" i="37"/>
  <c r="D20" i="37"/>
  <c r="C21" i="37"/>
  <c r="D21" i="37"/>
  <c r="C22" i="37"/>
  <c r="D22" i="37"/>
  <c r="B22" i="37"/>
  <c r="C23" i="37"/>
  <c r="D23" i="37"/>
  <c r="C24" i="37"/>
  <c r="D24" i="37"/>
  <c r="B24" i="37"/>
  <c r="C26" i="37"/>
  <c r="D26" i="37"/>
  <c r="C27" i="37"/>
  <c r="D27" i="37"/>
  <c r="C28" i="37"/>
  <c r="D28" i="37"/>
  <c r="C29" i="37"/>
  <c r="D29" i="37"/>
  <c r="G29" i="37" s="1"/>
  <c r="C30" i="37"/>
  <c r="D30" i="37"/>
  <c r="C31" i="37"/>
  <c r="D31" i="37"/>
  <c r="C32" i="37"/>
  <c r="D32" i="37"/>
  <c r="C34" i="37"/>
  <c r="D34" i="37"/>
  <c r="H34" i="37" s="1"/>
  <c r="C35" i="37"/>
  <c r="D35" i="37"/>
  <c r="C37" i="37"/>
  <c r="D37" i="37"/>
  <c r="C38" i="37"/>
  <c r="D38" i="37"/>
  <c r="C39" i="37"/>
  <c r="D39" i="37"/>
  <c r="C42" i="37"/>
  <c r="D42" i="37"/>
  <c r="C43" i="37"/>
  <c r="H43" i="37" s="1"/>
  <c r="D43" i="37"/>
  <c r="C45" i="37"/>
  <c r="D45" i="37"/>
  <c r="C47" i="37"/>
  <c r="D47" i="37"/>
  <c r="C50" i="37"/>
  <c r="D50" i="37"/>
  <c r="C51" i="37"/>
  <c r="H51" i="37" s="1"/>
  <c r="D51" i="37"/>
  <c r="C53" i="37"/>
  <c r="D53" i="37"/>
  <c r="C54" i="37"/>
  <c r="H54" i="37" s="1"/>
  <c r="D54" i="37"/>
  <c r="C55" i="37"/>
  <c r="D55" i="37"/>
  <c r="C56" i="37"/>
  <c r="H56" i="37" s="1"/>
  <c r="D56" i="37"/>
  <c r="C58" i="37"/>
  <c r="D58" i="37"/>
  <c r="C59" i="37"/>
  <c r="H59" i="37" s="1"/>
  <c r="D59" i="37"/>
  <c r="C60" i="37"/>
  <c r="D60" i="37"/>
  <c r="C61" i="37"/>
  <c r="H61" i="37" s="1"/>
  <c r="D61" i="37"/>
  <c r="C63" i="37"/>
  <c r="D63" i="37"/>
  <c r="C64" i="37"/>
  <c r="D64" i="37"/>
  <c r="C66" i="37"/>
  <c r="D66" i="37"/>
  <c r="C67" i="37"/>
  <c r="D67" i="37"/>
  <c r="C70" i="37"/>
  <c r="D70" i="37"/>
  <c r="C71" i="37"/>
  <c r="D71" i="37"/>
  <c r="G71" i="37" s="1"/>
  <c r="C72" i="37"/>
  <c r="D72" i="37"/>
  <c r="C73" i="37"/>
  <c r="D73" i="37"/>
  <c r="C74" i="37"/>
  <c r="H74" i="37" s="1"/>
  <c r="D74" i="37"/>
  <c r="C75" i="37"/>
  <c r="D75" i="37"/>
  <c r="C76" i="37"/>
  <c r="D76" i="37"/>
  <c r="C78" i="37"/>
  <c r="D78" i="37"/>
  <c r="B78" i="37"/>
  <c r="C79" i="37"/>
  <c r="D79" i="37"/>
  <c r="C80" i="37"/>
  <c r="H80" i="37" s="1"/>
  <c r="D80" i="37"/>
  <c r="B80" i="37"/>
  <c r="C81" i="37"/>
  <c r="D81" i="37"/>
  <c r="C82" i="37"/>
  <c r="D82" i="37"/>
  <c r="C84" i="37"/>
  <c r="D84" i="37"/>
  <c r="C85" i="37"/>
  <c r="D85" i="37"/>
  <c r="C86" i="37"/>
  <c r="D86" i="37"/>
  <c r="C87" i="37"/>
  <c r="D87" i="37"/>
  <c r="C88" i="37"/>
  <c r="D88" i="37"/>
  <c r="C89" i="37"/>
  <c r="D89" i="37"/>
  <c r="C90" i="37"/>
  <c r="D90" i="37"/>
  <c r="C93" i="37"/>
  <c r="D93" i="37"/>
  <c r="C94" i="37"/>
  <c r="D94" i="37"/>
  <c r="G94" i="37" s="1"/>
  <c r="C95" i="37"/>
  <c r="D95" i="37"/>
  <c r="C96" i="37"/>
  <c r="D96" i="37"/>
  <c r="C98" i="37"/>
  <c r="D98" i="37"/>
  <c r="C99" i="37"/>
  <c r="D99" i="37"/>
  <c r="C100" i="37"/>
  <c r="D100" i="37"/>
  <c r="C101" i="37"/>
  <c r="H101" i="37" s="1"/>
  <c r="B101" i="37"/>
  <c r="D101" i="37"/>
  <c r="C102" i="37"/>
  <c r="D102" i="37"/>
  <c r="C103" i="37"/>
  <c r="D103" i="37"/>
  <c r="C105" i="37"/>
  <c r="D105" i="37"/>
  <c r="C106" i="37"/>
  <c r="D106" i="37"/>
  <c r="C107" i="37"/>
  <c r="D107" i="37"/>
  <c r="C110" i="37"/>
  <c r="D110" i="37"/>
  <c r="C111" i="37"/>
  <c r="D111" i="37"/>
  <c r="C113" i="37"/>
  <c r="D113" i="37"/>
  <c r="C114" i="37"/>
  <c r="D114" i="37"/>
  <c r="C117" i="37"/>
  <c r="D117" i="37"/>
  <c r="C118" i="37"/>
  <c r="D118" i="37"/>
  <c r="C119" i="37"/>
  <c r="H119" i="37" s="1"/>
  <c r="D119" i="37"/>
  <c r="C122" i="37"/>
  <c r="D122" i="37"/>
  <c r="C123" i="37"/>
  <c r="D123" i="37"/>
  <c r="C124" i="37"/>
  <c r="D124" i="37"/>
  <c r="C125" i="37"/>
  <c r="D125" i="37"/>
  <c r="C126" i="37"/>
  <c r="D126" i="37"/>
  <c r="C127" i="37"/>
  <c r="H127" i="37" s="1"/>
  <c r="D127" i="37"/>
  <c r="C128" i="37"/>
  <c r="D128" i="37"/>
  <c r="C129" i="37"/>
  <c r="D129" i="37"/>
  <c r="C130" i="37"/>
  <c r="D130" i="37"/>
  <c r="C132" i="37"/>
  <c r="D132" i="37"/>
  <c r="C136" i="37"/>
  <c r="D136" i="37"/>
  <c r="C137" i="37"/>
  <c r="H137" i="37" s="1"/>
  <c r="D137" i="37"/>
  <c r="C138" i="37"/>
  <c r="D138" i="37"/>
  <c r="C139" i="37"/>
  <c r="D139" i="37"/>
  <c r="C141" i="37"/>
  <c r="H141" i="37" s="1"/>
  <c r="D141" i="37"/>
  <c r="C143" i="37"/>
  <c r="D143" i="37"/>
  <c r="C144" i="37"/>
  <c r="D144" i="37"/>
  <c r="C145" i="37"/>
  <c r="H145" i="37" s="1"/>
  <c r="B145" i="37"/>
  <c r="D145" i="37"/>
  <c r="C148" i="37"/>
  <c r="H148" i="37" s="1"/>
  <c r="D148" i="37"/>
  <c r="C149" i="37"/>
  <c r="D149" i="37"/>
  <c r="G149" i="37" s="1"/>
  <c r="C150" i="37"/>
  <c r="D150" i="37"/>
  <c r="C151" i="37"/>
  <c r="D151" i="37"/>
  <c r="B151" i="37"/>
  <c r="C153" i="37"/>
  <c r="H153" i="37" s="1"/>
  <c r="D153" i="37"/>
  <c r="C154" i="37"/>
  <c r="D154" i="37"/>
  <c r="C155" i="37"/>
  <c r="D155" i="37"/>
  <c r="C156" i="37"/>
  <c r="D156" i="37"/>
  <c r="C157" i="37"/>
  <c r="G157" i="37" s="1"/>
  <c r="D157" i="37"/>
  <c r="C158" i="37"/>
  <c r="D158" i="37"/>
  <c r="C159" i="37"/>
  <c r="D159" i="37"/>
  <c r="C161" i="37"/>
  <c r="D161" i="37"/>
  <c r="C162" i="37"/>
  <c r="D162" i="37"/>
  <c r="C163" i="37"/>
  <c r="D163" i="37"/>
  <c r="C164" i="37"/>
  <c r="D164" i="37"/>
  <c r="C165" i="37"/>
  <c r="D165" i="37"/>
  <c r="C166" i="37"/>
  <c r="D166" i="37"/>
  <c r="C167" i="37"/>
  <c r="D167" i="37"/>
  <c r="C168" i="37"/>
  <c r="D168" i="37"/>
  <c r="C169" i="37"/>
  <c r="D169" i="37"/>
  <c r="C171" i="37"/>
  <c r="D171" i="37"/>
  <c r="C173" i="37"/>
  <c r="D173" i="37"/>
  <c r="C174" i="37"/>
  <c r="D174" i="37"/>
  <c r="C175" i="37"/>
  <c r="D175" i="37"/>
  <c r="C176" i="37"/>
  <c r="G176" i="37" s="1"/>
  <c r="D176" i="37"/>
  <c r="C177" i="37"/>
  <c r="D177" i="37"/>
  <c r="C178" i="37"/>
  <c r="D178" i="37"/>
  <c r="C181" i="37"/>
  <c r="D181" i="37"/>
  <c r="C182" i="37"/>
  <c r="D182" i="37"/>
  <c r="C183" i="37"/>
  <c r="D183" i="37"/>
  <c r="C184" i="37"/>
  <c r="D184" i="37"/>
  <c r="C186" i="37"/>
  <c r="D186" i="37"/>
  <c r="C187" i="37"/>
  <c r="D187" i="37"/>
  <c r="B187" i="37"/>
  <c r="C188" i="37"/>
  <c r="H188" i="37" s="1"/>
  <c r="D188" i="37"/>
  <c r="C189" i="37"/>
  <c r="D189" i="37"/>
  <c r="C190" i="37"/>
  <c r="H190" i="37" s="1"/>
  <c r="D190" i="37"/>
  <c r="C191" i="37"/>
  <c r="H191" i="37" s="1"/>
  <c r="D191" i="37"/>
  <c r="C192" i="37"/>
  <c r="D192" i="37"/>
  <c r="C194" i="37"/>
  <c r="H194" i="37" s="1"/>
  <c r="D194" i="37"/>
  <c r="C195" i="37"/>
  <c r="D195" i="37"/>
  <c r="C196" i="37"/>
  <c r="D196" i="37"/>
  <c r="C197" i="37"/>
  <c r="D197" i="37"/>
  <c r="G197" i="37" s="1"/>
  <c r="C200" i="37"/>
  <c r="D200" i="37"/>
  <c r="C201" i="37"/>
  <c r="H201" i="37" s="1"/>
  <c r="D201" i="37"/>
  <c r="C203" i="37"/>
  <c r="D203" i="37"/>
  <c r="C204" i="37"/>
  <c r="D204" i="37"/>
  <c r="C205" i="37"/>
  <c r="D205" i="37"/>
  <c r="C208" i="37"/>
  <c r="D208" i="37"/>
  <c r="C209" i="37"/>
  <c r="D209" i="37"/>
  <c r="C211" i="37"/>
  <c r="D211" i="37"/>
  <c r="C212" i="37"/>
  <c r="D212" i="37"/>
  <c r="C214" i="37"/>
  <c r="D214" i="37"/>
  <c r="C215" i="37"/>
  <c r="D215" i="37"/>
  <c r="C216" i="37"/>
  <c r="D216" i="37"/>
  <c r="C217" i="37"/>
  <c r="H217" i="37" s="1"/>
  <c r="D217" i="37"/>
  <c r="C220" i="37"/>
  <c r="D220" i="37"/>
  <c r="C221" i="37"/>
  <c r="D221" i="37"/>
  <c r="C223" i="37"/>
  <c r="D223" i="37"/>
  <c r="C224" i="37"/>
  <c r="D224" i="37"/>
  <c r="C227" i="37"/>
  <c r="D227" i="37"/>
  <c r="C228" i="37"/>
  <c r="D228" i="37"/>
  <c r="C230" i="37"/>
  <c r="D230" i="37"/>
  <c r="C231" i="37"/>
  <c r="D231" i="37"/>
  <c r="C233" i="37"/>
  <c r="D233" i="37"/>
  <c r="C234" i="37"/>
  <c r="D234" i="37"/>
  <c r="C235" i="37"/>
  <c r="D235" i="37"/>
  <c r="C236" i="37"/>
  <c r="D236" i="37"/>
  <c r="C238" i="37"/>
  <c r="D238" i="37"/>
  <c r="C239" i="37"/>
  <c r="D239" i="37"/>
  <c r="C240" i="37"/>
  <c r="D240" i="37"/>
  <c r="C241" i="37"/>
  <c r="D241" i="37"/>
  <c r="C242" i="37"/>
  <c r="D242" i="37"/>
  <c r="C248" i="37"/>
  <c r="D248" i="37"/>
  <c r="C249" i="37"/>
  <c r="D249" i="37"/>
  <c r="C250" i="37"/>
  <c r="H250" i="37" s="1"/>
  <c r="D250" i="37"/>
  <c r="C251" i="37"/>
  <c r="D251" i="37"/>
  <c r="C255" i="37"/>
  <c r="H255" i="37" s="1"/>
  <c r="D255" i="37"/>
  <c r="C256" i="37"/>
  <c r="D256" i="37"/>
  <c r="C257" i="37"/>
  <c r="D257" i="37"/>
  <c r="C259" i="37"/>
  <c r="D259" i="37"/>
  <c r="C260" i="37"/>
  <c r="D260" i="37"/>
  <c r="C261" i="37"/>
  <c r="D261" i="37"/>
  <c r="C262" i="37"/>
  <c r="D262" i="37"/>
  <c r="C263" i="37"/>
  <c r="H263" i="37" s="1"/>
  <c r="D263" i="37"/>
  <c r="C264" i="37"/>
  <c r="D264" i="37"/>
  <c r="C267" i="37"/>
  <c r="D267" i="37"/>
  <c r="C268" i="37"/>
  <c r="H268" i="37" s="1"/>
  <c r="D268" i="37"/>
  <c r="C269" i="37"/>
  <c r="H269" i="37" s="1"/>
  <c r="D269" i="37"/>
  <c r="C270" i="37"/>
  <c r="D270" i="37"/>
  <c r="C272" i="37"/>
  <c r="D272" i="37"/>
  <c r="C273" i="37"/>
  <c r="D273" i="37"/>
  <c r="C274" i="37"/>
  <c r="H274" i="37" s="1"/>
  <c r="D274" i="37"/>
  <c r="C275" i="37"/>
  <c r="D275" i="37"/>
  <c r="C276" i="37"/>
  <c r="D276" i="37"/>
  <c r="C277" i="37"/>
  <c r="D277" i="37"/>
  <c r="C278" i="37"/>
  <c r="D278" i="37"/>
  <c r="C280" i="37"/>
  <c r="D280" i="37"/>
  <c r="C281" i="37"/>
  <c r="D281" i="37"/>
  <c r="C282" i="37"/>
  <c r="D282" i="37"/>
  <c r="C283" i="37"/>
  <c r="D283" i="37"/>
  <c r="G283" i="37" s="1"/>
  <c r="C285" i="37"/>
  <c r="D285" i="37"/>
  <c r="C286" i="37"/>
  <c r="D286" i="37"/>
  <c r="C287" i="37"/>
  <c r="D287" i="37"/>
  <c r="C288" i="37"/>
  <c r="D288" i="37"/>
  <c r="C290" i="37"/>
  <c r="D290" i="37"/>
  <c r="C291" i="37"/>
  <c r="D291" i="37"/>
  <c r="H291" i="37" s="1"/>
  <c r="C293" i="37"/>
  <c r="H293" i="37" s="1"/>
  <c r="D293" i="37"/>
  <c r="C294" i="37"/>
  <c r="D294" i="37"/>
  <c r="C295" i="37"/>
  <c r="D295" i="37"/>
  <c r="C296" i="37"/>
  <c r="D296" i="37"/>
  <c r="B296" i="37"/>
  <c r="C299" i="37"/>
  <c r="D299" i="37"/>
  <c r="C300" i="37"/>
  <c r="D300" i="37"/>
  <c r="C303" i="37"/>
  <c r="D303" i="37"/>
  <c r="C307" i="37"/>
  <c r="D307" i="37"/>
  <c r="C308" i="37"/>
  <c r="D308" i="37"/>
  <c r="C309" i="37"/>
  <c r="H309" i="37" s="1"/>
  <c r="D309" i="37"/>
  <c r="C311" i="37"/>
  <c r="H311" i="37" s="1"/>
  <c r="D311" i="37"/>
  <c r="C312" i="37"/>
  <c r="D312" i="37"/>
  <c r="C313" i="37"/>
  <c r="H313" i="37" s="1"/>
  <c r="D313" i="37"/>
  <c r="C314" i="37"/>
  <c r="H314" i="37" s="1"/>
  <c r="D314" i="37"/>
  <c r="C315" i="37"/>
  <c r="H315" i="37" s="1"/>
  <c r="D315" i="37"/>
  <c r="C316" i="37"/>
  <c r="D316" i="37"/>
  <c r="C318" i="37"/>
  <c r="D318" i="37"/>
  <c r="C321" i="37"/>
  <c r="D321" i="37"/>
  <c r="C322" i="37"/>
  <c r="H322" i="37" s="1"/>
  <c r="D322" i="37"/>
  <c r="C323" i="37"/>
  <c r="D323" i="37"/>
  <c r="C324" i="37"/>
  <c r="D324" i="37"/>
  <c r="C326" i="37"/>
  <c r="D326" i="37"/>
  <c r="C327" i="37"/>
  <c r="D327" i="37"/>
  <c r="G327" i="37" s="1"/>
  <c r="C328" i="37"/>
  <c r="H328" i="37" s="1"/>
  <c r="D328" i="37"/>
  <c r="C329" i="37"/>
  <c r="D329" i="37"/>
  <c r="C330" i="37"/>
  <c r="D330" i="37"/>
  <c r="C331" i="37"/>
  <c r="D331" i="37"/>
  <c r="C332" i="37"/>
  <c r="D332" i="37"/>
  <c r="C334" i="37"/>
  <c r="D334" i="37"/>
  <c r="C335" i="37"/>
  <c r="D335" i="37"/>
  <c r="C336" i="37"/>
  <c r="D336" i="37"/>
  <c r="H336" i="37" s="1"/>
  <c r="C337" i="37"/>
  <c r="H337" i="37" s="1"/>
  <c r="D337" i="37"/>
  <c r="C339" i="37"/>
  <c r="D339" i="37"/>
  <c r="C340" i="37"/>
  <c r="D340" i="37"/>
  <c r="C341" i="37"/>
  <c r="D341" i="37"/>
  <c r="H341" i="37" s="1"/>
  <c r="C342" i="37"/>
  <c r="D342" i="37"/>
  <c r="C344" i="37"/>
  <c r="D344" i="37"/>
  <c r="C345" i="37"/>
  <c r="H345" i="37" s="1"/>
  <c r="D345" i="37"/>
  <c r="C347" i="37"/>
  <c r="D347" i="37"/>
  <c r="C348" i="37"/>
  <c r="D348" i="37"/>
  <c r="C349" i="37"/>
  <c r="D349" i="37"/>
  <c r="C350" i="37"/>
  <c r="D350" i="37"/>
  <c r="C352" i="37"/>
  <c r="D352" i="37"/>
  <c r="H352" i="37" s="1"/>
  <c r="C355" i="37"/>
  <c r="H355" i="37" s="1"/>
  <c r="D355" i="37"/>
  <c r="C356" i="37"/>
  <c r="D356" i="37"/>
  <c r="G356" i="37" s="1"/>
  <c r="C358" i="37"/>
  <c r="D358" i="37"/>
  <c r="C361" i="37"/>
  <c r="D361" i="37"/>
  <c r="C364" i="37"/>
  <c r="H364" i="37" s="1"/>
  <c r="B364" i="37"/>
  <c r="D364" i="37"/>
  <c r="C366" i="37"/>
  <c r="D366" i="37"/>
  <c r="C368" i="37"/>
  <c r="D368" i="37"/>
  <c r="C370" i="37"/>
  <c r="D370" i="37"/>
  <c r="C372" i="37"/>
  <c r="D372" i="37"/>
  <c r="C375" i="37"/>
  <c r="D375" i="37"/>
  <c r="G375" i="37" s="1"/>
  <c r="C376" i="37"/>
  <c r="H376" i="37" s="1"/>
  <c r="D376" i="37"/>
  <c r="C377" i="37"/>
  <c r="D377" i="37"/>
  <c r="C388" i="37"/>
  <c r="D388" i="37"/>
  <c r="C389" i="37"/>
  <c r="B389" i="37"/>
  <c r="D389" i="37"/>
  <c r="C390" i="37"/>
  <c r="D390" i="37"/>
  <c r="C391" i="37"/>
  <c r="D391" i="37"/>
  <c r="C393" i="37"/>
  <c r="D393" i="37"/>
  <c r="C394" i="37"/>
  <c r="B394" i="37"/>
  <c r="D394" i="37"/>
  <c r="C396" i="37"/>
  <c r="D396" i="37"/>
  <c r="C397" i="37"/>
  <c r="H397" i="37" s="1"/>
  <c r="D397" i="37"/>
  <c r="C398" i="37"/>
  <c r="D398" i="37"/>
  <c r="C400" i="37"/>
  <c r="D400" i="37"/>
  <c r="C402" i="37"/>
  <c r="D402" i="37"/>
  <c r="C403" i="37"/>
  <c r="D403" i="37"/>
  <c r="C404" i="37"/>
  <c r="H404" i="37" s="1"/>
  <c r="D404" i="37"/>
  <c r="C405" i="37"/>
  <c r="D405" i="37"/>
  <c r="C406" i="37"/>
  <c r="D406" i="37"/>
  <c r="C407" i="37"/>
  <c r="D407" i="37"/>
  <c r="C409" i="37"/>
  <c r="D409" i="37"/>
  <c r="C410" i="37"/>
  <c r="D410" i="37"/>
  <c r="H410" i="37" s="1"/>
  <c r="C411" i="37"/>
  <c r="H411" i="37" s="1"/>
  <c r="D411" i="37"/>
  <c r="C412" i="37"/>
  <c r="D412" i="37"/>
  <c r="C414" i="37"/>
  <c r="D414" i="37"/>
  <c r="C415" i="37"/>
  <c r="D415" i="37"/>
  <c r="C416" i="37"/>
  <c r="D416" i="37"/>
  <c r="C417" i="37"/>
  <c r="D417" i="37"/>
  <c r="C418" i="37"/>
  <c r="D418" i="37"/>
  <c r="C419" i="37"/>
  <c r="B419" i="37"/>
  <c r="D419" i="37"/>
  <c r="C420" i="37"/>
  <c r="D420" i="37"/>
  <c r="C423" i="37"/>
  <c r="B423" i="37"/>
  <c r="D423" i="37"/>
  <c r="C424" i="37"/>
  <c r="D424" i="37"/>
  <c r="C426" i="37"/>
  <c r="H426" i="37" s="1"/>
  <c r="D426" i="37"/>
  <c r="C427" i="37"/>
  <c r="D427" i="37"/>
  <c r="C429" i="37"/>
  <c r="H429" i="37" s="1"/>
  <c r="D429" i="37"/>
  <c r="C430" i="37"/>
  <c r="D430" i="37"/>
  <c r="C432" i="37"/>
  <c r="D432" i="37"/>
  <c r="C433" i="37"/>
  <c r="D433" i="37"/>
  <c r="C436" i="37"/>
  <c r="D436" i="37"/>
  <c r="C437" i="37"/>
  <c r="D437" i="37"/>
  <c r="C438" i="37"/>
  <c r="H438" i="37" s="1"/>
  <c r="D438" i="37"/>
  <c r="C440" i="37"/>
  <c r="D440" i="37"/>
  <c r="C442" i="37"/>
  <c r="H442" i="37" s="1"/>
  <c r="D442" i="37"/>
  <c r="C443" i="37"/>
  <c r="D443" i="37"/>
  <c r="C445" i="37"/>
  <c r="D445" i="37"/>
  <c r="C446" i="37"/>
  <c r="D446" i="37"/>
  <c r="C449" i="37"/>
  <c r="D449" i="37"/>
  <c r="C450" i="37"/>
  <c r="D450" i="37"/>
  <c r="C451" i="37"/>
  <c r="D451" i="37"/>
  <c r="G451" i="37" s="1"/>
  <c r="C452" i="37"/>
  <c r="D452" i="37"/>
  <c r="G452" i="37" s="1"/>
  <c r="C454" i="37"/>
  <c r="D454" i="37"/>
  <c r="H454" i="37" s="1"/>
  <c r="C455" i="37"/>
  <c r="D455" i="37"/>
  <c r="C456" i="37"/>
  <c r="D456" i="37"/>
  <c r="C458" i="37"/>
  <c r="D458" i="37"/>
  <c r="G458" i="37" s="1"/>
  <c r="C460" i="37"/>
  <c r="D460" i="37"/>
  <c r="G460" i="37" s="1"/>
  <c r="C461" i="37"/>
  <c r="D461" i="37"/>
  <c r="C462" i="37"/>
  <c r="D462" i="37"/>
  <c r="C463" i="37"/>
  <c r="D463" i="37"/>
  <c r="C464" i="37"/>
  <c r="D464" i="37"/>
  <c r="G464" i="37" s="1"/>
  <c r="C465" i="37"/>
  <c r="D465" i="37"/>
  <c r="C467" i="37"/>
  <c r="D467" i="37"/>
  <c r="C468" i="37"/>
  <c r="D468" i="37"/>
  <c r="G468" i="37" s="1"/>
  <c r="C469" i="37"/>
  <c r="D469" i="37"/>
  <c r="G469" i="37" s="1"/>
  <c r="C470" i="37"/>
  <c r="D470" i="37"/>
  <c r="C472" i="37"/>
  <c r="D472" i="37"/>
  <c r="H472" i="37" s="1"/>
  <c r="C473" i="37"/>
  <c r="D473" i="37"/>
  <c r="C474" i="37"/>
  <c r="H474" i="37" s="1"/>
  <c r="D474" i="37"/>
  <c r="C475" i="37"/>
  <c r="D475" i="37"/>
  <c r="C476" i="37"/>
  <c r="H476" i="37" s="1"/>
  <c r="D476" i="37"/>
  <c r="C477" i="37"/>
  <c r="D477" i="37"/>
  <c r="C480" i="37"/>
  <c r="H480" i="37" s="1"/>
  <c r="D480" i="37"/>
  <c r="C481" i="37"/>
  <c r="D481" i="37"/>
  <c r="C483" i="37"/>
  <c r="H483" i="37" s="1"/>
  <c r="D483" i="37"/>
  <c r="C484" i="37"/>
  <c r="D484" i="37"/>
  <c r="C486" i="37"/>
  <c r="D486" i="37"/>
  <c r="C487" i="37"/>
  <c r="D487" i="37"/>
  <c r="C489" i="37"/>
  <c r="H489" i="37" s="1"/>
  <c r="D489" i="37"/>
  <c r="C490" i="37"/>
  <c r="D490" i="37"/>
  <c r="C494" i="37"/>
  <c r="D494" i="37"/>
  <c r="C495" i="37"/>
  <c r="D495" i="37"/>
  <c r="C496" i="37"/>
  <c r="H496" i="37" s="1"/>
  <c r="D496" i="37"/>
  <c r="C497" i="37"/>
  <c r="D497" i="37"/>
  <c r="C499" i="37"/>
  <c r="D499" i="37"/>
  <c r="C500" i="37"/>
  <c r="D500" i="37"/>
  <c r="C502" i="37"/>
  <c r="D502" i="37"/>
  <c r="C503" i="37"/>
  <c r="D503" i="37"/>
  <c r="H503" i="37" s="1"/>
  <c r="C504" i="37"/>
  <c r="D504" i="37"/>
  <c r="C506" i="37"/>
  <c r="D506" i="37"/>
  <c r="C508" i="37"/>
  <c r="D508" i="37"/>
  <c r="H508" i="37" s="1"/>
  <c r="C509" i="37"/>
  <c r="D509" i="37"/>
  <c r="C510" i="37"/>
  <c r="D510" i="37"/>
  <c r="C511" i="37"/>
  <c r="D511" i="37"/>
  <c r="C512" i="37"/>
  <c r="D512" i="37"/>
  <c r="C513" i="37"/>
  <c r="D513" i="37"/>
  <c r="C515" i="37"/>
  <c r="D515" i="37"/>
  <c r="C516" i="37"/>
  <c r="D516" i="37"/>
  <c r="H516" i="37" s="1"/>
  <c r="C517" i="37"/>
  <c r="D517" i="37"/>
  <c r="C518" i="37"/>
  <c r="D518" i="37"/>
  <c r="G518" i="37" s="1"/>
  <c r="C520" i="37"/>
  <c r="D520" i="37"/>
  <c r="C521" i="37"/>
  <c r="D521" i="37"/>
  <c r="C522" i="37"/>
  <c r="D522" i="37"/>
  <c r="C523" i="37"/>
  <c r="D523" i="37"/>
  <c r="H523" i="37" s="1"/>
  <c r="C524" i="37"/>
  <c r="D524" i="37"/>
  <c r="C525" i="37"/>
  <c r="D525" i="37"/>
  <c r="C526" i="37"/>
  <c r="D526" i="37"/>
  <c r="C529" i="37"/>
  <c r="D529" i="37"/>
  <c r="C530" i="37"/>
  <c r="H530" i="37" s="1"/>
  <c r="D530" i="37"/>
  <c r="C532" i="37"/>
  <c r="D532" i="37"/>
  <c r="C533" i="37"/>
  <c r="D533" i="37"/>
  <c r="C535" i="37"/>
  <c r="D535" i="37"/>
  <c r="C536" i="37"/>
  <c r="D536" i="37"/>
  <c r="G536" i="37" s="1"/>
  <c r="C538" i="37"/>
  <c r="D538" i="37"/>
  <c r="C539" i="37"/>
  <c r="H539" i="37" s="1"/>
  <c r="D539" i="37"/>
  <c r="C542" i="37"/>
  <c r="D542" i="37"/>
  <c r="C543" i="37"/>
  <c r="D543" i="37"/>
  <c r="C544" i="37"/>
  <c r="D544" i="37"/>
  <c r="C546" i="37"/>
  <c r="D546" i="37"/>
  <c r="C548" i="37"/>
  <c r="D548" i="37"/>
  <c r="C549" i="37"/>
  <c r="D549" i="37"/>
  <c r="C551" i="37"/>
  <c r="D551" i="37"/>
  <c r="H551" i="37" s="1"/>
  <c r="C552" i="37"/>
  <c r="D552" i="37"/>
  <c r="C555" i="37"/>
  <c r="D555" i="37"/>
  <c r="H555" i="37" s="1"/>
  <c r="C556" i="37"/>
  <c r="D556" i="37"/>
  <c r="C557" i="37"/>
  <c r="D557" i="37"/>
  <c r="G557" i="37" s="1"/>
  <c r="C558" i="37"/>
  <c r="D558" i="37"/>
  <c r="C560" i="37"/>
  <c r="D560" i="37"/>
  <c r="C561" i="37"/>
  <c r="D561" i="37"/>
  <c r="H561" i="37" s="1"/>
  <c r="C562" i="37"/>
  <c r="D562" i="37"/>
  <c r="C564" i="37"/>
  <c r="D564" i="37"/>
  <c r="G564" i="37" s="1"/>
  <c r="C566" i="37"/>
  <c r="D566" i="37"/>
  <c r="H566" i="37" s="1"/>
  <c r="C567" i="37"/>
  <c r="D567" i="37"/>
  <c r="G567" i="37" s="1"/>
  <c r="C568" i="37"/>
  <c r="H568" i="37" s="1"/>
  <c r="D568" i="37"/>
  <c r="C569" i="37"/>
  <c r="D569" i="37"/>
  <c r="C570" i="37"/>
  <c r="H570" i="37" s="1"/>
  <c r="D570" i="37"/>
  <c r="C571" i="37"/>
  <c r="D571" i="37"/>
  <c r="H571" i="37" s="1"/>
  <c r="C573" i="37"/>
  <c r="H573" i="37" s="1"/>
  <c r="D573" i="37"/>
  <c r="C574" i="37"/>
  <c r="D574" i="37"/>
  <c r="C575" i="37"/>
  <c r="D575" i="37"/>
  <c r="G575" i="37" s="1"/>
  <c r="C576" i="37"/>
  <c r="D576" i="37"/>
  <c r="C578" i="37"/>
  <c r="D578" i="37"/>
  <c r="C579" i="37"/>
  <c r="D579" i="37"/>
  <c r="G579" i="37" s="1"/>
  <c r="C580" i="37"/>
  <c r="D580" i="37"/>
  <c r="C581" i="37"/>
  <c r="D581" i="37"/>
  <c r="H581" i="37" s="1"/>
  <c r="C582" i="37"/>
  <c r="D582" i="37"/>
  <c r="C583" i="37"/>
  <c r="D583" i="37"/>
  <c r="C584" i="37"/>
  <c r="D584" i="37"/>
  <c r="G584" i="37" s="1"/>
  <c r="C587" i="37"/>
  <c r="D587" i="37"/>
  <c r="C588" i="37"/>
  <c r="D588" i="37"/>
  <c r="C590" i="37"/>
  <c r="D590" i="37"/>
  <c r="C591" i="37"/>
  <c r="D591" i="37"/>
  <c r="C593" i="37"/>
  <c r="D593" i="37"/>
  <c r="C594" i="37"/>
  <c r="D594" i="37"/>
  <c r="C597" i="37"/>
  <c r="D597" i="37"/>
  <c r="C598" i="37"/>
  <c r="D598" i="37"/>
  <c r="C607" i="37"/>
  <c r="D607" i="37"/>
  <c r="C608" i="37"/>
  <c r="D608" i="37"/>
  <c r="C609" i="37"/>
  <c r="D609" i="37"/>
  <c r="C610" i="37"/>
  <c r="D610" i="37"/>
  <c r="C612" i="37"/>
  <c r="D612" i="37"/>
  <c r="C613" i="37"/>
  <c r="D613" i="37"/>
  <c r="C614" i="37"/>
  <c r="D614" i="37"/>
  <c r="C615" i="37"/>
  <c r="D615" i="37"/>
  <c r="C616" i="37"/>
  <c r="D616" i="37"/>
  <c r="C617" i="37"/>
  <c r="D617" i="37"/>
  <c r="C618" i="37"/>
  <c r="D618" i="37"/>
  <c r="H618" i="37" s="1"/>
  <c r="C619" i="37"/>
  <c r="D619" i="37"/>
  <c r="C620" i="37"/>
  <c r="D620" i="37"/>
  <c r="G620" i="37" s="1"/>
  <c r="C621" i="37"/>
  <c r="D621" i="37"/>
  <c r="C622" i="37"/>
  <c r="H622" i="37" s="1"/>
  <c r="D622" i="37"/>
  <c r="C623" i="37"/>
  <c r="D623" i="37"/>
  <c r="C624" i="37"/>
  <c r="D624" i="37"/>
  <c r="C625" i="37"/>
  <c r="D625" i="37"/>
  <c r="C626" i="37"/>
  <c r="D626" i="37"/>
  <c r="C627" i="37"/>
  <c r="D627" i="37"/>
  <c r="C628" i="37"/>
  <c r="D628" i="37"/>
  <c r="C629" i="37"/>
  <c r="D629" i="37"/>
  <c r="C630" i="37"/>
  <c r="D630" i="37"/>
  <c r="C631" i="37"/>
  <c r="D631" i="37"/>
  <c r="C632" i="37"/>
  <c r="D632" i="37"/>
  <c r="C633" i="37"/>
  <c r="D633" i="37"/>
  <c r="C634" i="37"/>
  <c r="D634" i="37"/>
  <c r="C635" i="37"/>
  <c r="D635" i="37"/>
  <c r="C636" i="37"/>
  <c r="D636" i="37"/>
  <c r="C637" i="37"/>
  <c r="D637" i="37"/>
  <c r="C638" i="37"/>
  <c r="D638" i="37"/>
  <c r="C639" i="37"/>
  <c r="D639" i="37"/>
  <c r="C640" i="37"/>
  <c r="D640" i="37"/>
  <c r="C641" i="37"/>
  <c r="D641" i="37"/>
  <c r="G641" i="37" s="1"/>
  <c r="C642" i="37"/>
  <c r="D642" i="37"/>
  <c r="C643" i="37"/>
  <c r="D643" i="37"/>
  <c r="C644" i="37"/>
  <c r="D644" i="37"/>
  <c r="C645" i="37"/>
  <c r="D645" i="37"/>
  <c r="C646" i="37"/>
  <c r="D646" i="37"/>
  <c r="C647" i="37"/>
  <c r="D647" i="37"/>
  <c r="C649" i="37"/>
  <c r="D649" i="37"/>
  <c r="C650" i="37"/>
  <c r="D650" i="37"/>
  <c r="C651" i="37"/>
  <c r="D651" i="37"/>
  <c r="C652" i="37"/>
  <c r="D652" i="37"/>
  <c r="G652" i="37" s="1"/>
  <c r="C653" i="37"/>
  <c r="D653" i="37"/>
  <c r="C654" i="37"/>
  <c r="D654" i="37"/>
  <c r="G654" i="37" s="1"/>
  <c r="C655" i="37"/>
  <c r="D655" i="37"/>
  <c r="C656" i="37"/>
  <c r="D656" i="37"/>
  <c r="C657" i="37"/>
  <c r="D657" i="37"/>
  <c r="C658" i="37"/>
  <c r="D658" i="37"/>
  <c r="C659" i="37"/>
  <c r="D659" i="37"/>
  <c r="G659" i="37" s="1"/>
  <c r="C660" i="37"/>
  <c r="D660" i="37"/>
  <c r="G660" i="37" s="1"/>
  <c r="C661" i="37"/>
  <c r="D661" i="37"/>
  <c r="C662" i="37"/>
  <c r="D662" i="37"/>
  <c r="C663" i="37"/>
  <c r="H663" i="37" s="1"/>
  <c r="D663" i="37"/>
  <c r="C664" i="37"/>
  <c r="D664" i="37"/>
  <c r="G664" i="37" s="1"/>
  <c r="C665" i="37"/>
  <c r="D665" i="37"/>
  <c r="C666" i="37"/>
  <c r="D666" i="37"/>
  <c r="C667" i="37"/>
  <c r="D667" i="37"/>
  <c r="C668" i="37"/>
  <c r="D668" i="37"/>
  <c r="C669" i="37"/>
  <c r="D669" i="37"/>
  <c r="C670" i="37"/>
  <c r="D670" i="37"/>
  <c r="C671" i="37"/>
  <c r="D671" i="37"/>
  <c r="C672" i="37"/>
  <c r="D672" i="37"/>
  <c r="C673" i="37"/>
  <c r="D673" i="37"/>
  <c r="H673" i="37" s="1"/>
  <c r="C674" i="37"/>
  <c r="D674" i="37"/>
  <c r="C675" i="37"/>
  <c r="D675" i="37"/>
  <c r="C676" i="37"/>
  <c r="D676" i="37"/>
  <c r="C677" i="37"/>
  <c r="D677" i="37"/>
  <c r="H677" i="37" s="1"/>
  <c r="C678" i="37"/>
  <c r="D678" i="37"/>
  <c r="C679" i="37"/>
  <c r="D679" i="37"/>
  <c r="C680" i="37"/>
  <c r="D680" i="37"/>
  <c r="C681" i="37"/>
  <c r="D681" i="37"/>
  <c r="C682" i="37"/>
  <c r="D682" i="37"/>
  <c r="C683" i="37"/>
  <c r="D683" i="37"/>
  <c r="H683" i="37" s="1"/>
  <c r="C684" i="37"/>
  <c r="D684" i="37"/>
  <c r="C685" i="37"/>
  <c r="D685" i="37"/>
  <c r="G685" i="37" s="1"/>
  <c r="C686" i="37"/>
  <c r="D686" i="37"/>
  <c r="C687" i="37"/>
  <c r="D687" i="37"/>
  <c r="H687" i="37" s="1"/>
  <c r="C688" i="37"/>
  <c r="D688" i="37"/>
  <c r="C689" i="37"/>
  <c r="D689" i="37"/>
  <c r="C690" i="37"/>
  <c r="D690" i="37"/>
  <c r="H690" i="37" s="1"/>
  <c r="C691" i="37"/>
  <c r="D691" i="37"/>
  <c r="H691" i="37" s="1"/>
  <c r="C692" i="37"/>
  <c r="D692" i="37"/>
  <c r="C693" i="37"/>
  <c r="D693" i="37"/>
  <c r="H693" i="37" s="1"/>
  <c r="C694" i="37"/>
  <c r="D694" i="37"/>
  <c r="C695" i="37"/>
  <c r="D695" i="37"/>
  <c r="C696" i="37"/>
  <c r="D696" i="37"/>
  <c r="C697" i="37"/>
  <c r="D697" i="37"/>
  <c r="C698" i="37"/>
  <c r="D698" i="37"/>
  <c r="G698" i="37" s="1"/>
  <c r="C699" i="37"/>
  <c r="D699" i="37"/>
  <c r="C700" i="37"/>
  <c r="D700" i="37"/>
  <c r="C701" i="37"/>
  <c r="D701" i="37"/>
  <c r="G701" i="37" s="1"/>
  <c r="C702" i="37"/>
  <c r="D702" i="37"/>
  <c r="C703" i="37"/>
  <c r="D703" i="37"/>
  <c r="G703" i="37" s="1"/>
  <c r="C704" i="37"/>
  <c r="D704" i="37"/>
  <c r="C705" i="37"/>
  <c r="D705" i="37"/>
  <c r="H705" i="37" s="1"/>
  <c r="C706" i="37"/>
  <c r="D706" i="37"/>
  <c r="C707" i="37"/>
  <c r="D707" i="37"/>
  <c r="C708" i="37"/>
  <c r="D708" i="37"/>
  <c r="C709" i="37"/>
  <c r="D709" i="37"/>
  <c r="C710" i="37"/>
  <c r="D710" i="37"/>
  <c r="C711" i="37"/>
  <c r="D711" i="37"/>
  <c r="C712" i="37"/>
  <c r="D712" i="37"/>
  <c r="C713" i="37"/>
  <c r="D713" i="37"/>
  <c r="C714" i="37"/>
  <c r="H714" i="37" s="1"/>
  <c r="D714" i="37"/>
  <c r="C715" i="37"/>
  <c r="D715" i="37"/>
  <c r="C716" i="37"/>
  <c r="D716" i="37"/>
  <c r="C717" i="37"/>
  <c r="D717" i="37"/>
  <c r="H717" i="37" s="1"/>
  <c r="C718" i="37"/>
  <c r="D718" i="37"/>
  <c r="C719" i="37"/>
  <c r="D719" i="37"/>
  <c r="C720" i="37"/>
  <c r="D720" i="37"/>
  <c r="C721" i="37"/>
  <c r="D721" i="37"/>
  <c r="C722" i="37"/>
  <c r="D722" i="37"/>
  <c r="G722" i="37" s="1"/>
  <c r="C723" i="37"/>
  <c r="D723" i="37"/>
  <c r="C724" i="37"/>
  <c r="D724" i="37"/>
  <c r="G724" i="37" s="1"/>
  <c r="C725" i="37"/>
  <c r="D725" i="37"/>
  <c r="C726" i="37"/>
  <c r="D726" i="37"/>
  <c r="C727" i="37"/>
  <c r="D727" i="37"/>
  <c r="C728" i="37"/>
  <c r="D728" i="37"/>
  <c r="C729" i="37"/>
  <c r="D729" i="37"/>
  <c r="C730" i="37"/>
  <c r="D730" i="37"/>
  <c r="C731" i="37"/>
  <c r="D731" i="37"/>
  <c r="B731" i="37"/>
  <c r="C732" i="37"/>
  <c r="D732" i="37"/>
  <c r="C733" i="37"/>
  <c r="D733" i="37"/>
  <c r="C734" i="37"/>
  <c r="D734" i="37"/>
  <c r="C735" i="37"/>
  <c r="D735" i="37"/>
  <c r="C736" i="37"/>
  <c r="H736" i="37" s="1"/>
  <c r="D736" i="37"/>
  <c r="C737" i="37"/>
  <c r="B737" i="37"/>
  <c r="D737" i="37"/>
  <c r="C739" i="37"/>
  <c r="D739" i="37"/>
  <c r="C740" i="37"/>
  <c r="B740" i="37"/>
  <c r="D740" i="37"/>
  <c r="C741" i="37"/>
  <c r="D741" i="37"/>
  <c r="C742" i="37"/>
  <c r="D742" i="37"/>
  <c r="C743" i="37"/>
  <c r="D743" i="37"/>
  <c r="C744" i="37"/>
  <c r="D744" i="37"/>
  <c r="C745" i="37"/>
  <c r="D745" i="37"/>
  <c r="C746" i="37"/>
  <c r="D746" i="37"/>
  <c r="C747" i="37"/>
  <c r="H747" i="37" s="1"/>
  <c r="D747" i="37"/>
  <c r="C748" i="37"/>
  <c r="D748" i="37"/>
  <c r="C749" i="37"/>
  <c r="H749" i="37" s="1"/>
  <c r="D749" i="37"/>
  <c r="C750" i="37"/>
  <c r="H750" i="37" s="1"/>
  <c r="D750" i="37"/>
  <c r="C751" i="37"/>
  <c r="H751" i="37" s="1"/>
  <c r="D751" i="37"/>
  <c r="C752" i="37"/>
  <c r="D752" i="37"/>
  <c r="C753" i="37"/>
  <c r="H753" i="37" s="1"/>
  <c r="D753" i="37"/>
  <c r="C754" i="37"/>
  <c r="D754" i="37"/>
  <c r="C755" i="37"/>
  <c r="D755" i="37"/>
  <c r="C756" i="37"/>
  <c r="D756" i="37"/>
  <c r="C757" i="37"/>
  <c r="H757" i="37" s="1"/>
  <c r="D757" i="37"/>
  <c r="C758" i="37"/>
  <c r="H758" i="37" s="1"/>
  <c r="D758" i="37"/>
  <c r="C759" i="37"/>
  <c r="D759" i="37"/>
  <c r="C760" i="37"/>
  <c r="D760" i="37"/>
  <c r="C761" i="37"/>
  <c r="D761" i="37"/>
  <c r="C762" i="37"/>
  <c r="D762" i="37"/>
  <c r="C763" i="37"/>
  <c r="D763" i="37"/>
  <c r="C764" i="37"/>
  <c r="D764" i="37"/>
  <c r="C765" i="37"/>
  <c r="D765" i="37"/>
  <c r="C766" i="37"/>
  <c r="H766" i="37" s="1"/>
  <c r="D766" i="37"/>
  <c r="C767" i="37"/>
  <c r="D767" i="37"/>
  <c r="C768" i="37"/>
  <c r="D768" i="37"/>
  <c r="C769" i="37"/>
  <c r="D769" i="37"/>
  <c r="C770" i="37"/>
  <c r="D770" i="37"/>
  <c r="C771" i="37"/>
  <c r="D771" i="37"/>
  <c r="C772" i="37"/>
  <c r="D772" i="37"/>
  <c r="C773" i="37"/>
  <c r="D773" i="37"/>
  <c r="C774" i="37"/>
  <c r="D774" i="37"/>
  <c r="C775" i="37"/>
  <c r="D775" i="37"/>
  <c r="C776" i="37"/>
  <c r="D776" i="37"/>
  <c r="C777" i="37"/>
  <c r="D777" i="37"/>
  <c r="C778" i="37"/>
  <c r="D778" i="37"/>
  <c r="C779" i="37"/>
  <c r="D779" i="37"/>
  <c r="C780" i="37"/>
  <c r="D780" i="37"/>
  <c r="C781" i="37"/>
  <c r="D781" i="37"/>
  <c r="C782" i="37"/>
  <c r="D782" i="37"/>
  <c r="C783" i="37"/>
  <c r="G783" i="37" s="1"/>
  <c r="D783" i="37"/>
  <c r="C784" i="37"/>
  <c r="D784" i="37"/>
  <c r="C785" i="37"/>
  <c r="D785" i="37"/>
  <c r="C786" i="37"/>
  <c r="D786" i="37"/>
  <c r="C787" i="37"/>
  <c r="D787" i="37"/>
  <c r="C788" i="37"/>
  <c r="D788" i="37"/>
  <c r="C789" i="37"/>
  <c r="D789" i="37"/>
  <c r="C790" i="37"/>
  <c r="D790" i="37"/>
  <c r="C791" i="37"/>
  <c r="G791" i="37" s="1"/>
  <c r="D791" i="37"/>
  <c r="C792" i="37"/>
  <c r="D792" i="37"/>
  <c r="H792" i="37" s="1"/>
  <c r="C793" i="37"/>
  <c r="D793" i="37"/>
  <c r="C794" i="37"/>
  <c r="D794" i="37"/>
  <c r="C795" i="37"/>
  <c r="D795" i="37"/>
  <c r="C796" i="37"/>
  <c r="D796" i="37"/>
  <c r="C797" i="37"/>
  <c r="D797" i="37"/>
  <c r="C798" i="37"/>
  <c r="D798" i="37"/>
  <c r="C799" i="37"/>
  <c r="D799" i="37"/>
  <c r="C801" i="37"/>
  <c r="D801" i="37"/>
  <c r="C802" i="37"/>
  <c r="D802" i="37"/>
  <c r="C803" i="37"/>
  <c r="D803" i="37"/>
  <c r="G803" i="37" s="1"/>
  <c r="C804" i="37"/>
  <c r="D804" i="37"/>
  <c r="C805" i="37"/>
  <c r="D805" i="37"/>
  <c r="H805" i="37" s="1"/>
  <c r="C806" i="37"/>
  <c r="D806" i="37"/>
  <c r="C807" i="37"/>
  <c r="D807" i="37"/>
  <c r="H807" i="37" s="1"/>
  <c r="C808" i="37"/>
  <c r="D808" i="37"/>
  <c r="C809" i="37"/>
  <c r="D809" i="37"/>
  <c r="G809" i="37" s="1"/>
  <c r="C810" i="37"/>
  <c r="D810" i="37"/>
  <c r="C811" i="37"/>
  <c r="D811" i="37"/>
  <c r="C812" i="37"/>
  <c r="D812" i="37"/>
  <c r="C813" i="37"/>
  <c r="D813" i="37"/>
  <c r="C814" i="37"/>
  <c r="D814" i="37"/>
  <c r="C815" i="37"/>
  <c r="D815" i="37"/>
  <c r="C816" i="37"/>
  <c r="D816" i="37"/>
  <c r="C817" i="37"/>
  <c r="D817" i="37"/>
  <c r="C818" i="37"/>
  <c r="D818" i="37"/>
  <c r="C819" i="37"/>
  <c r="G819" i="37" s="1"/>
  <c r="D819" i="37"/>
  <c r="C820" i="37"/>
  <c r="D820" i="37"/>
  <c r="C821" i="37"/>
  <c r="D821" i="37"/>
  <c r="C822" i="37"/>
  <c r="D822" i="37"/>
  <c r="C823" i="37"/>
  <c r="D823" i="37"/>
  <c r="C824" i="37"/>
  <c r="D824" i="37"/>
  <c r="C825" i="37"/>
  <c r="D825" i="37"/>
  <c r="C826" i="37"/>
  <c r="D826" i="37"/>
  <c r="C827" i="37"/>
  <c r="D827" i="37"/>
  <c r="C828" i="37"/>
  <c r="D828" i="37"/>
  <c r="C829" i="37"/>
  <c r="D829" i="37"/>
  <c r="C830" i="37"/>
  <c r="D830" i="37"/>
  <c r="C831" i="37"/>
  <c r="H831" i="37" s="1"/>
  <c r="D831" i="37"/>
  <c r="C832" i="37"/>
  <c r="D832" i="37"/>
  <c r="C833" i="37"/>
  <c r="D833" i="37"/>
  <c r="C834" i="37"/>
  <c r="D834" i="37"/>
  <c r="C835" i="37"/>
  <c r="D835" i="37"/>
  <c r="C836" i="37"/>
  <c r="G836" i="37" s="1"/>
  <c r="D836" i="37"/>
  <c r="C837" i="37"/>
  <c r="H837" i="37" s="1"/>
  <c r="D837" i="37"/>
  <c r="C838" i="37"/>
  <c r="D838" i="37"/>
  <c r="C839" i="37"/>
  <c r="D839" i="37"/>
  <c r="C840" i="37"/>
  <c r="D840" i="37"/>
  <c r="C841" i="37"/>
  <c r="D841" i="37"/>
  <c r="C842" i="37"/>
  <c r="D842" i="37"/>
  <c r="C843" i="37"/>
  <c r="D843" i="37"/>
  <c r="C844" i="37"/>
  <c r="D844" i="37"/>
  <c r="C845" i="37"/>
  <c r="D845" i="37"/>
  <c r="C846" i="37"/>
  <c r="D846" i="37"/>
  <c r="C847" i="37"/>
  <c r="H847" i="37" s="1"/>
  <c r="D847" i="37"/>
  <c r="C848" i="37"/>
  <c r="H848" i="37" s="1"/>
  <c r="D848" i="37"/>
  <c r="C849" i="37"/>
  <c r="D849" i="37"/>
  <c r="C850" i="37"/>
  <c r="D850" i="37"/>
  <c r="C851" i="37"/>
  <c r="D851" i="37"/>
  <c r="C852" i="37"/>
  <c r="G852" i="37" s="1"/>
  <c r="D852" i="37"/>
  <c r="C853" i="37"/>
  <c r="D853" i="37"/>
  <c r="C854" i="37"/>
  <c r="D854" i="37"/>
  <c r="C855" i="37"/>
  <c r="D855" i="37"/>
  <c r="C856" i="37"/>
  <c r="G856" i="37" s="1"/>
  <c r="D856" i="37"/>
  <c r="C857" i="37"/>
  <c r="D857" i="37"/>
  <c r="H857" i="37" s="1"/>
  <c r="C858" i="37"/>
  <c r="D858" i="37"/>
  <c r="C859" i="37"/>
  <c r="D859" i="37"/>
  <c r="C860" i="37"/>
  <c r="G860" i="37" s="1"/>
  <c r="D860" i="37"/>
  <c r="C861" i="37"/>
  <c r="D861" i="37"/>
  <c r="C862" i="37"/>
  <c r="D862" i="37"/>
  <c r="C863" i="37"/>
  <c r="D863" i="37"/>
  <c r="D865" i="37"/>
  <c r="C866" i="37"/>
  <c r="D866" i="37"/>
  <c r="C867" i="37"/>
  <c r="H867" i="37" s="1"/>
  <c r="D867" i="37"/>
  <c r="C868" i="37"/>
  <c r="H868" i="37" s="1"/>
  <c r="D868" i="37"/>
  <c r="C869" i="37"/>
  <c r="D869" i="37"/>
  <c r="C870" i="37"/>
  <c r="D870" i="37"/>
  <c r="C871" i="37"/>
  <c r="H871" i="37" s="1"/>
  <c r="D871" i="37"/>
  <c r="C872" i="37"/>
  <c r="H872" i="37" s="1"/>
  <c r="D872" i="37"/>
  <c r="C873" i="37"/>
  <c r="H873" i="37" s="1"/>
  <c r="D873" i="37"/>
  <c r="C874" i="37"/>
  <c r="H874" i="37" s="1"/>
  <c r="D874" i="37"/>
  <c r="C875" i="37"/>
  <c r="H875" i="37" s="1"/>
  <c r="D875" i="37"/>
  <c r="C876" i="37"/>
  <c r="D876" i="37"/>
  <c r="C877" i="37"/>
  <c r="H877" i="37" s="1"/>
  <c r="D877" i="37"/>
  <c r="C878" i="37"/>
  <c r="D878" i="37"/>
  <c r="C879" i="37"/>
  <c r="D879" i="37"/>
  <c r="C880" i="37"/>
  <c r="D880" i="37"/>
  <c r="C881" i="37"/>
  <c r="H881" i="37" s="1"/>
  <c r="D881" i="37"/>
  <c r="C882" i="37"/>
  <c r="H882" i="37" s="1"/>
  <c r="D882" i="37"/>
  <c r="C883" i="37"/>
  <c r="D883" i="37"/>
  <c r="C884" i="37"/>
  <c r="D884" i="37"/>
  <c r="C885" i="37"/>
  <c r="D885" i="37"/>
  <c r="D886" i="37"/>
  <c r="C887" i="37"/>
  <c r="G887" i="37" s="1"/>
  <c r="D887" i="37"/>
  <c r="C888" i="37"/>
  <c r="H888" i="37" s="1"/>
  <c r="D888" i="37"/>
  <c r="C889" i="37"/>
  <c r="H889" i="37" s="1"/>
  <c r="D889" i="37"/>
  <c r="C890" i="37"/>
  <c r="H890" i="37" s="1"/>
  <c r="D890" i="37"/>
  <c r="C891" i="37"/>
  <c r="D891" i="37"/>
  <c r="C892" i="37"/>
  <c r="H892" i="37" s="1"/>
  <c r="D892" i="37"/>
  <c r="C893" i="37"/>
  <c r="H893" i="37" s="1"/>
  <c r="D893" i="37"/>
  <c r="C894" i="37"/>
  <c r="G894" i="37" s="1"/>
  <c r="D894" i="37"/>
  <c r="C895" i="37"/>
  <c r="H895" i="37" s="1"/>
  <c r="D895" i="37"/>
  <c r="C896" i="37"/>
  <c r="G896" i="37" s="1"/>
  <c r="D896" i="37"/>
  <c r="C897" i="37"/>
  <c r="D897" i="37"/>
  <c r="H897" i="37" s="1"/>
  <c r="C898" i="37"/>
  <c r="H898" i="37" s="1"/>
  <c r="D898" i="37"/>
  <c r="C899" i="37"/>
  <c r="H899" i="37" s="1"/>
  <c r="D899" i="37"/>
  <c r="C900" i="37"/>
  <c r="G900" i="37" s="1"/>
  <c r="D900" i="37"/>
  <c r="F166" i="3"/>
  <c r="F167" i="3"/>
  <c r="F168" i="3"/>
  <c r="F169" i="3"/>
  <c r="F170" i="3"/>
  <c r="F171" i="3"/>
  <c r="F172" i="3"/>
  <c r="F173" i="3"/>
  <c r="A5" i="3"/>
  <c r="A6" i="3"/>
  <c r="A7" i="3"/>
  <c r="A8" i="3"/>
  <c r="A9" i="3" s="1"/>
  <c r="A10" i="3" s="1"/>
  <c r="A11" i="3" s="1"/>
  <c r="A12" i="3"/>
  <c r="A13" i="3" s="1"/>
  <c r="A14" i="3" s="1"/>
  <c r="A15" i="3" s="1"/>
  <c r="A17" i="3" s="1"/>
  <c r="A18" i="3" s="1"/>
  <c r="A19" i="3" s="1"/>
  <c r="A20" i="3" s="1"/>
  <c r="A21" i="3" s="1"/>
  <c r="A23" i="3" s="1"/>
  <c r="A24" i="3" s="1"/>
  <c r="A25" i="3" s="1"/>
  <c r="A27" i="3" s="1"/>
  <c r="A28" i="3" s="1"/>
  <c r="A29" i="3"/>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6" i="3" s="1"/>
  <c r="A267" i="3" s="1"/>
  <c r="A268" i="3" s="1"/>
  <c r="A269"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9" i="3" s="1"/>
  <c r="A301" i="3" s="1"/>
  <c r="A302" i="3" s="1"/>
  <c r="A303" i="3" s="1"/>
  <c r="A304" i="3" s="1"/>
  <c r="A305" i="3" s="1"/>
  <c r="A306" i="3" s="1"/>
  <c r="A307" i="3" s="1"/>
  <c r="A308" i="3" s="1"/>
  <c r="A309" i="3" s="1"/>
  <c r="A310" i="3" s="1"/>
  <c r="A311" i="3" s="1"/>
  <c r="A312" i="3" s="1"/>
  <c r="A313" i="3" s="1"/>
  <c r="A314" i="3" s="1"/>
  <c r="A316" i="3" s="1"/>
  <c r="A317" i="3" s="1"/>
  <c r="A318" i="3" s="1"/>
  <c r="A320" i="3" s="1"/>
  <c r="A321" i="3" s="1"/>
  <c r="J70" i="42"/>
  <c r="K18" i="3"/>
  <c r="G18" i="3"/>
  <c r="G257" i="3"/>
  <c r="E257" i="3" s="1"/>
  <c r="B257" i="3" s="1"/>
  <c r="C1302" i="37"/>
  <c r="B1302" i="37"/>
  <c r="D1302" i="37"/>
  <c r="C1303" i="37"/>
  <c r="D1303" i="37"/>
  <c r="C1304" i="37"/>
  <c r="H1304" i="37" s="1"/>
  <c r="D1304" i="37"/>
  <c r="C1306" i="37"/>
  <c r="D1306" i="37"/>
  <c r="C1307" i="37"/>
  <c r="D1307" i="37"/>
  <c r="C1309" i="37"/>
  <c r="H1309" i="37" s="1"/>
  <c r="D1309" i="37"/>
  <c r="C1310" i="37"/>
  <c r="D1310" i="37"/>
  <c r="C1311" i="37"/>
  <c r="H1311" i="37" s="1"/>
  <c r="D1311" i="37"/>
  <c r="C1312" i="37"/>
  <c r="D1312" i="37"/>
  <c r="H1312" i="37" s="1"/>
  <c r="C1313" i="37"/>
  <c r="H1313" i="37" s="1"/>
  <c r="D1313" i="37"/>
  <c r="C1314" i="37"/>
  <c r="D1314" i="37"/>
  <c r="C1315" i="37"/>
  <c r="D1315" i="37"/>
  <c r="C1316" i="37"/>
  <c r="D1316" i="37"/>
  <c r="C1318" i="37"/>
  <c r="D1318" i="37"/>
  <c r="C1319" i="37"/>
  <c r="H1319" i="37" s="1"/>
  <c r="D1319" i="37"/>
  <c r="C1320" i="37"/>
  <c r="H1320" i="37" s="1"/>
  <c r="D1320" i="37"/>
  <c r="C1321" i="37"/>
  <c r="D1321" i="37"/>
  <c r="C1322" i="37"/>
  <c r="D1322" i="37"/>
  <c r="H1322" i="37" s="1"/>
  <c r="C1324" i="37"/>
  <c r="H1324" i="37" s="1"/>
  <c r="D1324" i="37"/>
  <c r="C1325" i="37"/>
  <c r="D1325" i="37"/>
  <c r="C1326" i="37"/>
  <c r="D1326" i="37"/>
  <c r="C1327" i="37"/>
  <c r="G1327" i="37" s="1"/>
  <c r="D1327" i="37"/>
  <c r="C1328" i="37"/>
  <c r="D1328" i="37"/>
  <c r="C1329" i="37"/>
  <c r="D1329" i="37"/>
  <c r="C1332" i="37"/>
  <c r="D1332" i="37"/>
  <c r="H1332" i="37"/>
  <c r="C1333" i="37"/>
  <c r="D1333" i="37"/>
  <c r="C1335" i="37"/>
  <c r="D1335" i="37"/>
  <c r="C1336" i="37"/>
  <c r="D1336" i="37"/>
  <c r="C1337" i="37"/>
  <c r="D1337" i="37"/>
  <c r="C1339" i="37"/>
  <c r="D1339" i="37"/>
  <c r="C1340" i="37"/>
  <c r="D1340" i="37"/>
  <c r="H1340" i="37" s="1"/>
  <c r="C1341" i="37"/>
  <c r="D1341" i="37"/>
  <c r="G1341" i="37" s="1"/>
  <c r="C1342" i="37"/>
  <c r="D1342" i="37"/>
  <c r="C1343" i="37"/>
  <c r="D1343" i="37"/>
  <c r="C1344" i="37"/>
  <c r="D1344" i="37"/>
  <c r="C1346" i="37"/>
  <c r="D1346" i="37"/>
  <c r="C1347" i="37"/>
  <c r="D1347" i="37"/>
  <c r="H1347" i="37" s="1"/>
  <c r="C1348" i="37"/>
  <c r="D1348" i="37"/>
  <c r="C1350" i="37"/>
  <c r="D1350" i="37"/>
  <c r="C1351" i="37"/>
  <c r="H1351" i="37" s="1"/>
  <c r="D1351" i="37"/>
  <c r="C1352" i="37"/>
  <c r="D1352" i="37"/>
  <c r="H1352" i="37" s="1"/>
  <c r="C1353" i="37"/>
  <c r="D1353" i="37"/>
  <c r="C1354" i="37"/>
  <c r="D1354" i="37"/>
  <c r="H1354" i="37"/>
  <c r="C1355" i="37"/>
  <c r="D1355" i="37"/>
  <c r="C1357" i="37"/>
  <c r="D1357" i="37"/>
  <c r="C1358" i="37"/>
  <c r="H1358" i="37" s="1"/>
  <c r="D1358" i="37"/>
  <c r="C1359" i="37"/>
  <c r="D1359" i="37"/>
  <c r="C1360" i="37"/>
  <c r="D1360" i="37"/>
  <c r="H1360" i="37"/>
  <c r="C1362" i="37"/>
  <c r="H1362" i="37" s="1"/>
  <c r="D1362" i="37"/>
  <c r="C1363" i="37"/>
  <c r="D1363" i="37"/>
  <c r="H1363" i="37" s="1"/>
  <c r="C1364" i="37"/>
  <c r="D1364" i="37"/>
  <c r="C1365" i="37"/>
  <c r="D1365" i="37"/>
  <c r="C1366" i="37"/>
  <c r="H1366" i="37" s="1"/>
  <c r="D1366" i="37"/>
  <c r="C1367" i="37"/>
  <c r="D1367" i="37"/>
  <c r="G1367" i="37" s="1"/>
  <c r="C1368" i="37"/>
  <c r="H1368" i="37" s="1"/>
  <c r="D1368" i="37"/>
  <c r="C1369" i="37"/>
  <c r="D1369" i="37"/>
  <c r="C1371" i="37"/>
  <c r="D1371" i="37"/>
  <c r="H1371" i="37"/>
  <c r="C1372" i="37"/>
  <c r="D1372" i="37"/>
  <c r="H1372" i="37" s="1"/>
  <c r="C1373" i="37"/>
  <c r="D1373" i="37"/>
  <c r="H1373" i="37"/>
  <c r="C1374" i="37"/>
  <c r="G1374" i="37" s="1"/>
  <c r="D1374" i="37"/>
  <c r="C1375" i="37"/>
  <c r="D1375" i="37"/>
  <c r="G1375" i="37" s="1"/>
  <c r="C1376" i="37"/>
  <c r="G1376" i="37" s="1"/>
  <c r="D1376" i="37"/>
  <c r="C1378" i="37"/>
  <c r="D1378" i="37"/>
  <c r="C1379" i="37"/>
  <c r="D1379" i="37"/>
  <c r="C1380" i="37"/>
  <c r="D1380" i="37"/>
  <c r="C1381" i="37"/>
  <c r="H1381" i="37" s="1"/>
  <c r="D1381" i="37"/>
  <c r="C1382" i="37"/>
  <c r="D1382" i="37"/>
  <c r="C1383" i="37"/>
  <c r="D1383" i="37"/>
  <c r="C1386" i="37"/>
  <c r="D1386" i="37"/>
  <c r="C1387" i="37"/>
  <c r="H1387" i="37" s="1"/>
  <c r="D1387" i="37"/>
  <c r="C1388" i="37"/>
  <c r="D1388" i="37"/>
  <c r="H1388" i="37" s="1"/>
  <c r="C1390" i="37"/>
  <c r="D1390" i="37"/>
  <c r="C1391" i="37"/>
  <c r="D1391" i="37"/>
  <c r="G1391" i="37" s="1"/>
  <c r="C1392" i="37"/>
  <c r="H1392" i="37" s="1"/>
  <c r="D1392" i="37"/>
  <c r="C1393" i="37"/>
  <c r="D1393" i="37"/>
  <c r="C1395" i="37"/>
  <c r="D1395" i="37"/>
  <c r="H1395" i="37"/>
  <c r="C1396" i="37"/>
  <c r="D1396" i="37"/>
  <c r="C1397" i="37"/>
  <c r="H1397" i="37" s="1"/>
  <c r="D1397" i="37"/>
  <c r="C1398" i="37"/>
  <c r="D1398" i="37"/>
  <c r="C1399" i="37"/>
  <c r="H1399" i="37" s="1"/>
  <c r="D1399" i="37"/>
  <c r="C1400" i="37"/>
  <c r="H1400" i="37" s="1"/>
  <c r="D1400" i="37"/>
  <c r="C1401" i="37"/>
  <c r="D1401" i="37"/>
  <c r="C1403" i="37"/>
  <c r="D1403" i="37"/>
  <c r="C1404" i="37"/>
  <c r="D1404" i="37"/>
  <c r="C1405" i="37"/>
  <c r="D1405" i="37"/>
  <c r="C1406" i="37"/>
  <c r="H1406" i="37" s="1"/>
  <c r="D1406" i="37"/>
  <c r="C1407" i="37"/>
  <c r="H1407" i="37" s="1"/>
  <c r="D1407" i="37"/>
  <c r="C1408" i="37"/>
  <c r="D1408" i="37"/>
  <c r="C1411" i="37"/>
  <c r="D1411" i="37"/>
  <c r="C1412" i="37"/>
  <c r="D1412" i="37"/>
  <c r="C1414" i="37"/>
  <c r="H1414" i="37" s="1"/>
  <c r="D1414" i="37"/>
  <c r="C1415" i="37"/>
  <c r="D1415" i="37"/>
  <c r="C1416" i="37"/>
  <c r="D1416" i="37"/>
  <c r="G1416" i="37" s="1"/>
  <c r="C1418" i="37"/>
  <c r="D1418" i="37"/>
  <c r="C1419" i="37"/>
  <c r="D1419" i="37"/>
  <c r="C1420" i="37"/>
  <c r="H1420" i="37" s="1"/>
  <c r="D1420" i="37"/>
  <c r="C1421" i="37"/>
  <c r="D1421" i="37"/>
  <c r="C1422" i="37"/>
  <c r="D1422" i="37"/>
  <c r="C1423" i="37"/>
  <c r="D1423" i="37"/>
  <c r="C1426" i="37"/>
  <c r="D1426" i="37"/>
  <c r="C1427" i="37"/>
  <c r="D1427" i="37"/>
  <c r="C1428" i="37"/>
  <c r="D1428" i="37"/>
  <c r="H1428" i="37" s="1"/>
  <c r="C1429" i="37"/>
  <c r="D1429" i="37"/>
  <c r="C1430" i="37"/>
  <c r="D1430" i="37"/>
  <c r="C1431" i="37"/>
  <c r="D1431" i="37"/>
  <c r="C1432" i="37"/>
  <c r="D1432" i="37"/>
  <c r="C1433" i="37"/>
  <c r="D1433" i="37"/>
  <c r="C1434" i="37"/>
  <c r="D1434" i="37"/>
  <c r="H1434" i="37"/>
  <c r="C1435" i="37"/>
  <c r="G1435" i="37" s="1"/>
  <c r="D1435" i="37"/>
  <c r="F4" i="3"/>
  <c r="G4" i="3"/>
  <c r="G2" i="3"/>
  <c r="F9" i="3" s="1"/>
  <c r="E6" i="3"/>
  <c r="B6" i="3" s="1"/>
  <c r="C902" i="37"/>
  <c r="H902" i="37" s="1"/>
  <c r="C903" i="37"/>
  <c r="C904" i="37"/>
  <c r="H904" i="37" s="1"/>
  <c r="C905" i="37"/>
  <c r="H905" i="37" s="1"/>
  <c r="C906" i="37"/>
  <c r="H906" i="37" s="1"/>
  <c r="C907" i="37"/>
  <c r="H907" i="37" s="1"/>
  <c r="C908" i="37"/>
  <c r="C909" i="37"/>
  <c r="H909" i="37" s="1"/>
  <c r="C913" i="37"/>
  <c r="C914" i="37"/>
  <c r="H914" i="37" s="1"/>
  <c r="C915" i="37"/>
  <c r="H915" i="37" s="1"/>
  <c r="C916" i="37"/>
  <c r="H916" i="37" s="1"/>
  <c r="C918" i="37"/>
  <c r="C920" i="37"/>
  <c r="H920" i="37" s="1"/>
  <c r="C921" i="37"/>
  <c r="H921" i="37" s="1"/>
  <c r="C922" i="37"/>
  <c r="C925" i="37"/>
  <c r="H925" i="37" s="1"/>
  <c r="C926" i="37"/>
  <c r="H926" i="37" s="1"/>
  <c r="C927" i="37"/>
  <c r="H927" i="37" s="1"/>
  <c r="C928" i="37"/>
  <c r="H928" i="37" s="1"/>
  <c r="C930" i="37"/>
  <c r="H930" i="37" s="1"/>
  <c r="C931" i="37"/>
  <c r="H931" i="37" s="1"/>
  <c r="C932" i="37"/>
  <c r="H932" i="37" s="1"/>
  <c r="C933" i="37"/>
  <c r="H933" i="37" s="1"/>
  <c r="C934" i="37"/>
  <c r="C935" i="37"/>
  <c r="H935" i="37" s="1"/>
  <c r="C936" i="37"/>
  <c r="H936" i="37" s="1"/>
  <c r="C938" i="37"/>
  <c r="H938" i="37" s="1"/>
  <c r="C939" i="37"/>
  <c r="H939" i="37" s="1"/>
  <c r="C940" i="37"/>
  <c r="H940" i="37" s="1"/>
  <c r="C941" i="37"/>
  <c r="H941" i="37" s="1"/>
  <c r="C942" i="37"/>
  <c r="H942" i="37" s="1"/>
  <c r="C943" i="37"/>
  <c r="H943" i="37" s="1"/>
  <c r="C944" i="37"/>
  <c r="H944" i="37" s="1"/>
  <c r="C945" i="37"/>
  <c r="H945" i="37" s="1"/>
  <c r="C946" i="37"/>
  <c r="H946" i="37" s="1"/>
  <c r="C948" i="37"/>
  <c r="H948" i="37" s="1"/>
  <c r="C950" i="37"/>
  <c r="H950" i="37" s="1"/>
  <c r="C951" i="37"/>
  <c r="H951" i="37" s="1"/>
  <c r="C952" i="37"/>
  <c r="H952" i="37" s="1"/>
  <c r="C953" i="37"/>
  <c r="H953" i="37" s="1"/>
  <c r="C954" i="37"/>
  <c r="H954" i="37" s="1"/>
  <c r="C955" i="37"/>
  <c r="H955" i="37" s="1"/>
  <c r="C958" i="37"/>
  <c r="H958" i="37" s="1"/>
  <c r="C959" i="37"/>
  <c r="H959" i="37" s="1"/>
  <c r="C960" i="37"/>
  <c r="H960" i="37" s="1"/>
  <c r="C961" i="37"/>
  <c r="H961" i="37" s="1"/>
  <c r="C963" i="37"/>
  <c r="H963" i="37" s="1"/>
  <c r="C964" i="37"/>
  <c r="H964" i="37" s="1"/>
  <c r="C965" i="37"/>
  <c r="H965" i="37" s="1"/>
  <c r="C966" i="37"/>
  <c r="H966" i="37" s="1"/>
  <c r="C967" i="37"/>
  <c r="H967" i="37" s="1"/>
  <c r="C968" i="37"/>
  <c r="H968" i="37" s="1"/>
  <c r="C969" i="37"/>
  <c r="H969" i="37" s="1"/>
  <c r="C971" i="37"/>
  <c r="H971" i="37" s="1"/>
  <c r="C972" i="37"/>
  <c r="H972" i="37" s="1"/>
  <c r="C973" i="37"/>
  <c r="H973" i="37" s="1"/>
  <c r="C974" i="37"/>
  <c r="B974" i="37"/>
  <c r="C977" i="37"/>
  <c r="H977" i="37" s="1"/>
  <c r="C978" i="37"/>
  <c r="H978" i="37" s="1"/>
  <c r="C980" i="37"/>
  <c r="H980" i="37" s="1"/>
  <c r="C981" i="37"/>
  <c r="H981" i="37" s="1"/>
  <c r="C982" i="37"/>
  <c r="H982" i="37" s="1"/>
  <c r="C985" i="37"/>
  <c r="H985" i="37" s="1"/>
  <c r="C986" i="37"/>
  <c r="H986" i="37" s="1"/>
  <c r="C988" i="37"/>
  <c r="H988" i="37" s="1"/>
  <c r="C989" i="37"/>
  <c r="H989" i="37" s="1"/>
  <c r="C991" i="37"/>
  <c r="H991" i="37" s="1"/>
  <c r="C992" i="37"/>
  <c r="H992" i="37" s="1"/>
  <c r="C993" i="37"/>
  <c r="C994" i="37"/>
  <c r="H994" i="37" s="1"/>
  <c r="C997" i="37"/>
  <c r="H997" i="37" s="1"/>
  <c r="C998" i="37"/>
  <c r="H998" i="37" s="1"/>
  <c r="C1000" i="37"/>
  <c r="H1000" i="37" s="1"/>
  <c r="C1001" i="37"/>
  <c r="H1001" i="37" s="1"/>
  <c r="C1004" i="37"/>
  <c r="H1004" i="37" s="1"/>
  <c r="C1005" i="37"/>
  <c r="H1005" i="37" s="1"/>
  <c r="C1007" i="37"/>
  <c r="C1008" i="37"/>
  <c r="H1008" i="37" s="1"/>
  <c r="C1010" i="37"/>
  <c r="C1011" i="37"/>
  <c r="H1011" i="37" s="1"/>
  <c r="C1012" i="37"/>
  <c r="H1012" i="37" s="1"/>
  <c r="C1013" i="37"/>
  <c r="H1013" i="37" s="1"/>
  <c r="C1015" i="37"/>
  <c r="H1015" i="37" s="1"/>
  <c r="C1016" i="37"/>
  <c r="H1016" i="37" s="1"/>
  <c r="C1017" i="37"/>
  <c r="H1017" i="37" s="1"/>
  <c r="C1021" i="37"/>
  <c r="H1021" i="37" s="1"/>
  <c r="C1022" i="37"/>
  <c r="H1022" i="37" s="1"/>
  <c r="C1023" i="37"/>
  <c r="H1023" i="37" s="1"/>
  <c r="C1024" i="37"/>
  <c r="H1024" i="37" s="1"/>
  <c r="C1028" i="37"/>
  <c r="H1028" i="37" s="1"/>
  <c r="C1029" i="37"/>
  <c r="H1029" i="37" s="1"/>
  <c r="C1030" i="37"/>
  <c r="H1030" i="37" s="1"/>
  <c r="C1032" i="37"/>
  <c r="H1032" i="37" s="1"/>
  <c r="C1033" i="37"/>
  <c r="H1033" i="37" s="1"/>
  <c r="C1034" i="37"/>
  <c r="H1034" i="37" s="1"/>
  <c r="C1035" i="37"/>
  <c r="H1035" i="37" s="1"/>
  <c r="C1036" i="37"/>
  <c r="H1036" i="37" s="1"/>
  <c r="C1037" i="37"/>
  <c r="H1037" i="37" s="1"/>
  <c r="C1039" i="37"/>
  <c r="H1039" i="37" s="1"/>
  <c r="C1042" i="37"/>
  <c r="H1042" i="37" s="1"/>
  <c r="C1043" i="37"/>
  <c r="H1043" i="37" s="1"/>
  <c r="C1044" i="37"/>
  <c r="H1044" i="37" s="1"/>
  <c r="C1045" i="37"/>
  <c r="H1045" i="37" s="1"/>
  <c r="C1047" i="37"/>
  <c r="H1047" i="37" s="1"/>
  <c r="C1048" i="37"/>
  <c r="H1048" i="37" s="1"/>
  <c r="C1049" i="37"/>
  <c r="H1049" i="37" s="1"/>
  <c r="C1050" i="37"/>
  <c r="H1050" i="37" s="1"/>
  <c r="C1051" i="37"/>
  <c r="H1051" i="37" s="1"/>
  <c r="C1052" i="37"/>
  <c r="H1052" i="37" s="1"/>
  <c r="C1053" i="37"/>
  <c r="H1053" i="37" s="1"/>
  <c r="C1055" i="37"/>
  <c r="H1055" i="37" s="1"/>
  <c r="C1056" i="37"/>
  <c r="H1056" i="37" s="1"/>
  <c r="C1057" i="37"/>
  <c r="H1057" i="37" s="1"/>
  <c r="C1058" i="37"/>
  <c r="H1058" i="37" s="1"/>
  <c r="C1060" i="37"/>
  <c r="C1061" i="37"/>
  <c r="H1061" i="37" s="1"/>
  <c r="C1062" i="37"/>
  <c r="H1062" i="37" s="1"/>
  <c r="C1063" i="37"/>
  <c r="H1063" i="37" s="1"/>
  <c r="C1065" i="37"/>
  <c r="H1065" i="37" s="1"/>
  <c r="C1066" i="37"/>
  <c r="H1066" i="37" s="1"/>
  <c r="C1068" i="37"/>
  <c r="C1069" i="37"/>
  <c r="C1070" i="37"/>
  <c r="H1070" i="37" s="1"/>
  <c r="C1071" i="37"/>
  <c r="H1071" i="37" s="1"/>
  <c r="C1073" i="37"/>
  <c r="H1073" i="37" s="1"/>
  <c r="C1076" i="37"/>
  <c r="C1077" i="37"/>
  <c r="H1077" i="37" s="1"/>
  <c r="C1079" i="37"/>
  <c r="H1079" i="37" s="1"/>
  <c r="C1082" i="37"/>
  <c r="H1082" i="37" s="1"/>
  <c r="C1085" i="37"/>
  <c r="H1085" i="37" s="1"/>
  <c r="C1087" i="37"/>
  <c r="H1087" i="37" s="1"/>
  <c r="C1089" i="37"/>
  <c r="H1089" i="37" s="1"/>
  <c r="C1091" i="37"/>
  <c r="H1091" i="37" s="1"/>
  <c r="C1093" i="37"/>
  <c r="H1093" i="37" s="1"/>
  <c r="C1097" i="37"/>
  <c r="H1097" i="37" s="1"/>
  <c r="C1098" i="37"/>
  <c r="C1099" i="37"/>
  <c r="H1099" i="37" s="1"/>
  <c r="C1100" i="37"/>
  <c r="H1100" i="37" s="1"/>
  <c r="C1101" i="37"/>
  <c r="C1103" i="37"/>
  <c r="H1103" i="37" s="1"/>
  <c r="C1104" i="37"/>
  <c r="H1104" i="37" s="1"/>
  <c r="C1105" i="37"/>
  <c r="H1105" i="37" s="1"/>
  <c r="C1106" i="37"/>
  <c r="C1107" i="37"/>
  <c r="G1107" i="37" s="1"/>
  <c r="C1109" i="37"/>
  <c r="H1109" i="37" s="1"/>
  <c r="C1110" i="37"/>
  <c r="H1110" i="37" s="1"/>
  <c r="C1111" i="37"/>
  <c r="H1111" i="37" s="1"/>
  <c r="C1112" i="37"/>
  <c r="H1112" i="37" s="1"/>
  <c r="C1113" i="37"/>
  <c r="C1114" i="37"/>
  <c r="H1114" i="37" s="1"/>
  <c r="C1115" i="37"/>
  <c r="H1115" i="37" s="1"/>
  <c r="C1116" i="37"/>
  <c r="H1116" i="37" s="1"/>
  <c r="C1118" i="37"/>
  <c r="H1118" i="37" s="1"/>
  <c r="C1119" i="37"/>
  <c r="H1119" i="37" s="1"/>
  <c r="C1120" i="37"/>
  <c r="H1120" i="37" s="1"/>
  <c r="C1121" i="37"/>
  <c r="H1121" i="37" s="1"/>
  <c r="C1122" i="37"/>
  <c r="H1122" i="37" s="1"/>
  <c r="C1123" i="37"/>
  <c r="H1123" i="37" s="1"/>
  <c r="C1128" i="37"/>
  <c r="H1128" i="37" s="1"/>
  <c r="C1129" i="37"/>
  <c r="H1129" i="37" s="1"/>
  <c r="C1132" i="37"/>
  <c r="H1132" i="37" s="1"/>
  <c r="C1133" i="37"/>
  <c r="H1133" i="37" s="1"/>
  <c r="C1134" i="37"/>
  <c r="H1134" i="37" s="1"/>
  <c r="C1135" i="37"/>
  <c r="H1135" i="37" s="1"/>
  <c r="C1136" i="37"/>
  <c r="H1136" i="37" s="1"/>
  <c r="C1137" i="37"/>
  <c r="H1137" i="37" s="1"/>
  <c r="C1138" i="37"/>
  <c r="H1138" i="37" s="1"/>
  <c r="C1139" i="37"/>
  <c r="C1140" i="37"/>
  <c r="H1140" i="37" s="1"/>
  <c r="C1141" i="37"/>
  <c r="H1141" i="37" s="1"/>
  <c r="C1142" i="37"/>
  <c r="H1142" i="37" s="1"/>
  <c r="C1143" i="37"/>
  <c r="C1144" i="37"/>
  <c r="H1144" i="37" s="1"/>
  <c r="C1145" i="37"/>
  <c r="H1145" i="37" s="1"/>
  <c r="C1146" i="37"/>
  <c r="H1146" i="37" s="1"/>
  <c r="C1147" i="37"/>
  <c r="H1147" i="37" s="1"/>
  <c r="C1148" i="37"/>
  <c r="H1148" i="37" s="1"/>
  <c r="C1149" i="37"/>
  <c r="H1149" i="37" s="1"/>
  <c r="C1150" i="37"/>
  <c r="H1150" i="37" s="1"/>
  <c r="C1151" i="37"/>
  <c r="H1151" i="37" s="1"/>
  <c r="C1152" i="37"/>
  <c r="H1152" i="37"/>
  <c r="C1153" i="37"/>
  <c r="H1153" i="37" s="1"/>
  <c r="C1154" i="37"/>
  <c r="H1154" i="37" s="1"/>
  <c r="C1155" i="37"/>
  <c r="H1155" i="37" s="1"/>
  <c r="C1156" i="37"/>
  <c r="H1156" i="37" s="1"/>
  <c r="C1157" i="37"/>
  <c r="H1157" i="37" s="1"/>
  <c r="C1158" i="37"/>
  <c r="H1158" i="37" s="1"/>
  <c r="C1159" i="37"/>
  <c r="H1159" i="37" s="1"/>
  <c r="C1160" i="37"/>
  <c r="H1160" i="37" s="1"/>
  <c r="C1161" i="37"/>
  <c r="H1161" i="37" s="1"/>
  <c r="C1162" i="37"/>
  <c r="H1162" i="37" s="1"/>
  <c r="C1163" i="37"/>
  <c r="H1163" i="37" s="1"/>
  <c r="C1164" i="37"/>
  <c r="H1164" i="37" s="1"/>
  <c r="C1165" i="37"/>
  <c r="H1165" i="37" s="1"/>
  <c r="L2" i="3"/>
  <c r="C1484" i="37"/>
  <c r="D1484" i="37"/>
  <c r="C1485" i="37"/>
  <c r="D1485" i="37"/>
  <c r="C1486" i="37"/>
  <c r="H1486" i="37" s="1"/>
  <c r="D1486" i="37"/>
  <c r="C1489" i="37"/>
  <c r="D1489" i="37"/>
  <c r="C1490" i="37"/>
  <c r="D1490" i="37"/>
  <c r="C1491" i="37"/>
  <c r="D1491" i="37"/>
  <c r="C1492" i="37"/>
  <c r="D1492" i="37"/>
  <c r="C1493" i="37"/>
  <c r="G1493" i="37" s="1"/>
  <c r="D1493" i="37"/>
  <c r="C1495" i="37"/>
  <c r="D1495" i="37"/>
  <c r="C1496" i="37"/>
  <c r="H1496" i="37" s="1"/>
  <c r="D1496" i="37"/>
  <c r="C1497" i="37"/>
  <c r="D1497" i="37"/>
  <c r="C1498" i="37"/>
  <c r="D1498" i="37"/>
  <c r="C1499" i="37"/>
  <c r="D1499" i="37"/>
  <c r="C1500" i="37"/>
  <c r="D1500" i="37"/>
  <c r="C1501" i="37"/>
  <c r="D1501" i="37"/>
  <c r="C1502" i="37"/>
  <c r="D1502" i="37"/>
  <c r="H1502" i="37" s="1"/>
  <c r="C1504" i="37"/>
  <c r="D1504" i="37"/>
  <c r="C1505" i="37"/>
  <c r="D1505" i="37"/>
  <c r="G1505" i="37" s="1"/>
  <c r="C1506" i="37"/>
  <c r="D1506" i="37"/>
  <c r="H1506" i="37"/>
  <c r="C1507" i="37"/>
  <c r="G1507" i="37" s="1"/>
  <c r="D1507" i="37"/>
  <c r="C1508" i="37"/>
  <c r="D1508" i="37"/>
  <c r="H1508" i="37" s="1"/>
  <c r="C1510" i="37"/>
  <c r="H1510" i="37" s="1"/>
  <c r="D1510" i="37"/>
  <c r="C1511" i="37"/>
  <c r="D1511" i="37"/>
  <c r="C1512" i="37"/>
  <c r="D1512" i="37"/>
  <c r="C1513" i="37"/>
  <c r="D1513" i="37"/>
  <c r="C1514" i="37"/>
  <c r="G1514" i="37" s="1"/>
  <c r="D1514" i="37"/>
  <c r="C1516" i="37"/>
  <c r="D1516" i="37"/>
  <c r="H1516" i="37" s="1"/>
  <c r="C1517" i="37"/>
  <c r="G1517" i="37" s="1"/>
  <c r="D1517" i="37"/>
  <c r="C1518" i="37"/>
  <c r="D1518" i="37"/>
  <c r="C1520" i="37"/>
  <c r="H1520" i="37" s="1"/>
  <c r="D1520" i="37"/>
  <c r="C1521" i="37"/>
  <c r="H1521" i="37" s="1"/>
  <c r="D1521" i="37"/>
  <c r="C1522" i="37"/>
  <c r="G1522" i="37" s="1"/>
  <c r="D1522" i="37"/>
  <c r="B1522" i="37"/>
  <c r="C1523" i="37"/>
  <c r="D1523" i="37"/>
  <c r="G1523" i="37" s="1"/>
  <c r="B1523" i="37"/>
  <c r="C1524" i="37"/>
  <c r="D1524" i="37"/>
  <c r="C1525" i="37"/>
  <c r="B1525" i="37"/>
  <c r="D1525" i="37"/>
  <c r="C1527" i="37"/>
  <c r="D1527" i="37"/>
  <c r="G1527" i="37" s="1"/>
  <c r="C1528" i="37"/>
  <c r="D1528" i="37"/>
  <c r="H1528" i="37"/>
  <c r="C1529" i="37"/>
  <c r="H1529" i="37" s="1"/>
  <c r="D1529" i="37"/>
  <c r="C1531" i="37"/>
  <c r="D1531" i="37"/>
  <c r="C1532" i="37"/>
  <c r="H1532" i="37" s="1"/>
  <c r="D1532" i="37"/>
  <c r="C1533" i="37"/>
  <c r="D1533" i="37"/>
  <c r="H1533" i="37"/>
  <c r="C1534" i="37"/>
  <c r="D1534" i="37"/>
  <c r="C1535" i="37"/>
  <c r="D1535" i="37"/>
  <c r="C1536" i="37"/>
  <c r="D1536" i="37"/>
  <c r="C1538" i="37"/>
  <c r="D1538" i="37"/>
  <c r="C1539" i="37"/>
  <c r="D1539" i="37"/>
  <c r="C1540" i="37"/>
  <c r="D1540" i="37"/>
  <c r="H1540" i="37" s="1"/>
  <c r="C1543" i="37"/>
  <c r="D1543" i="37"/>
  <c r="C1544" i="37"/>
  <c r="D1544" i="37"/>
  <c r="C1545" i="37"/>
  <c r="H1545" i="37" s="1"/>
  <c r="D1545" i="37"/>
  <c r="C1546" i="37"/>
  <c r="D1546" i="37"/>
  <c r="H1546" i="37" s="1"/>
  <c r="C1548" i="37"/>
  <c r="D1548" i="37"/>
  <c r="C1549" i="37"/>
  <c r="H1549" i="37" s="1"/>
  <c r="D1549" i="37"/>
  <c r="C1550" i="37"/>
  <c r="D1550" i="37"/>
  <c r="C1551" i="37"/>
  <c r="D1551" i="37"/>
  <c r="C1552" i="37"/>
  <c r="D1552" i="37"/>
  <c r="C1555" i="37"/>
  <c r="H1555" i="37" s="1"/>
  <c r="D1555" i="37"/>
  <c r="C1556" i="37"/>
  <c r="D1556" i="37"/>
  <c r="C1557" i="37"/>
  <c r="D1557" i="37"/>
  <c r="C1558" i="37"/>
  <c r="D1558" i="37"/>
  <c r="C1559" i="37"/>
  <c r="D1559" i="37"/>
  <c r="C1560" i="37"/>
  <c r="D1560" i="37"/>
  <c r="C1561" i="37"/>
  <c r="H1561" i="37" s="1"/>
  <c r="D1561" i="37"/>
  <c r="C1562" i="37"/>
  <c r="D1562" i="37"/>
  <c r="C1563" i="37"/>
  <c r="D1563" i="37"/>
  <c r="G1563" i="37" s="1"/>
  <c r="C1564" i="37"/>
  <c r="D1564" i="37"/>
  <c r="C1565" i="37"/>
  <c r="D1565" i="37"/>
  <c r="H1565" i="37" s="1"/>
  <c r="C1566" i="37"/>
  <c r="D1566" i="37"/>
  <c r="B1566" i="37"/>
  <c r="G1566" i="37"/>
  <c r="C1567" i="37"/>
  <c r="H1567" i="37" s="1"/>
  <c r="D1567" i="37"/>
  <c r="C1568" i="37"/>
  <c r="D1568" i="37"/>
  <c r="C1569" i="37"/>
  <c r="D1569" i="37"/>
  <c r="C1570" i="37"/>
  <c r="D1570" i="37"/>
  <c r="C1571" i="37"/>
  <c r="H1571" i="37" s="1"/>
  <c r="D1571" i="37"/>
  <c r="C1573" i="37"/>
  <c r="D1573" i="37"/>
  <c r="H1573" i="37" s="1"/>
  <c r="C1574" i="37"/>
  <c r="B1574" i="37"/>
  <c r="D1574" i="37"/>
  <c r="C1575" i="37"/>
  <c r="G1575" i="37" s="1"/>
  <c r="D1575" i="37"/>
  <c r="B1575" i="37"/>
  <c r="C1576" i="37"/>
  <c r="D1576" i="37"/>
  <c r="C1577" i="37"/>
  <c r="D1577" i="37"/>
  <c r="C1578" i="37"/>
  <c r="D1578" i="37"/>
  <c r="H1578" i="37" s="1"/>
  <c r="C1579" i="37"/>
  <c r="H1579" i="37" s="1"/>
  <c r="D1579" i="37"/>
  <c r="C1580" i="37"/>
  <c r="D1580" i="37"/>
  <c r="C1581" i="37"/>
  <c r="D1581" i="37"/>
  <c r="B1581" i="37"/>
  <c r="C1582" i="37"/>
  <c r="G1582" i="37" s="1"/>
  <c r="B1582" i="37"/>
  <c r="D1582" i="37"/>
  <c r="C1583" i="37"/>
  <c r="D1583" i="37"/>
  <c r="C1586" i="37"/>
  <c r="B1586" i="37"/>
  <c r="D1586" i="37"/>
  <c r="C1587" i="37"/>
  <c r="D1587" i="37"/>
  <c r="C1588" i="37"/>
  <c r="H1588" i="37" s="1"/>
  <c r="D1588" i="37"/>
  <c r="C1589" i="37"/>
  <c r="D1589" i="37"/>
  <c r="B1589" i="37"/>
  <c r="C1590" i="37"/>
  <c r="D1590" i="37"/>
  <c r="G1590" i="37" s="1"/>
  <c r="C1591" i="37"/>
  <c r="H1591" i="37" s="1"/>
  <c r="D1591" i="37"/>
  <c r="C1593" i="37"/>
  <c r="D1593" i="37"/>
  <c r="C1594" i="37"/>
  <c r="D1594" i="37"/>
  <c r="C1595" i="37"/>
  <c r="D1595" i="37"/>
  <c r="H1595" i="37" s="1"/>
  <c r="C1596" i="37"/>
  <c r="D1596" i="37"/>
  <c r="C1597" i="37"/>
  <c r="D1597" i="37"/>
  <c r="G1597" i="37" s="1"/>
  <c r="C1598" i="37"/>
  <c r="H1598" i="37" s="1"/>
  <c r="D1598" i="37"/>
  <c r="C1599" i="37"/>
  <c r="D1599" i="37"/>
  <c r="H1599" i="37" s="1"/>
  <c r="C1602" i="37"/>
  <c r="D1602" i="37"/>
  <c r="C1603" i="37"/>
  <c r="D1603" i="37"/>
  <c r="C1604" i="37"/>
  <c r="D1604" i="37"/>
  <c r="C1605" i="37"/>
  <c r="D1605" i="37"/>
  <c r="G1605" i="37" s="1"/>
  <c r="C1606" i="37"/>
  <c r="D1606" i="37"/>
  <c r="C1607" i="37"/>
  <c r="D1607" i="37"/>
  <c r="H1607" i="37" s="1"/>
  <c r="C1609" i="37"/>
  <c r="D1609" i="37"/>
  <c r="C1610" i="37"/>
  <c r="D1610" i="37"/>
  <c r="H1610" i="37" s="1"/>
  <c r="C1611" i="37"/>
  <c r="D1611" i="37"/>
  <c r="B1611" i="37"/>
  <c r="C1613" i="37"/>
  <c r="H1613" i="37" s="1"/>
  <c r="D1613" i="37"/>
  <c r="C1614" i="37"/>
  <c r="D1614" i="37"/>
  <c r="C1615" i="37"/>
  <c r="D1615" i="37"/>
  <c r="C1616" i="37"/>
  <c r="D1616" i="37"/>
  <c r="C1617" i="37"/>
  <c r="H1617" i="37" s="1"/>
  <c r="D1617" i="37"/>
  <c r="C1618" i="37"/>
  <c r="D1618" i="37"/>
  <c r="G1618" i="37" s="1"/>
  <c r="H1618" i="37"/>
  <c r="C1619" i="37"/>
  <c r="H1619" i="37" s="1"/>
  <c r="D1619" i="37"/>
  <c r="C1620" i="37"/>
  <c r="D1620" i="37"/>
  <c r="H1620" i="37" s="1"/>
  <c r="C1621" i="37"/>
  <c r="D1621" i="37"/>
  <c r="C1622" i="37"/>
  <c r="D1622" i="37"/>
  <c r="C1624" i="37"/>
  <c r="D1624" i="37"/>
  <c r="H1624" i="37"/>
  <c r="C1625" i="37"/>
  <c r="D1625" i="37"/>
  <c r="C1629" i="37"/>
  <c r="D1629" i="37"/>
  <c r="C1630" i="37"/>
  <c r="D1630" i="37"/>
  <c r="B1630" i="37"/>
  <c r="C1631" i="37"/>
  <c r="D1631" i="37"/>
  <c r="G1631" i="37" s="1"/>
  <c r="C1632" i="37"/>
  <c r="D1632" i="37"/>
  <c r="C1633" i="37"/>
  <c r="D1633" i="37"/>
  <c r="H1633" i="37" s="1"/>
  <c r="C1634" i="37"/>
  <c r="D1634" i="37"/>
  <c r="B1634" i="37"/>
  <c r="C1635" i="37"/>
  <c r="H1635" i="37" s="1"/>
  <c r="D1635" i="37"/>
  <c r="C1636" i="37"/>
  <c r="D1636" i="37"/>
  <c r="C1637" i="37"/>
  <c r="D1637" i="37"/>
  <c r="C1640" i="37"/>
  <c r="D1640" i="37"/>
  <c r="B1640" i="37"/>
  <c r="C1641" i="37"/>
  <c r="D1641" i="37"/>
  <c r="C1642" i="37"/>
  <c r="D1642" i="37"/>
  <c r="B1642" i="37"/>
  <c r="C1643" i="37"/>
  <c r="D1643" i="37"/>
  <c r="C1644" i="37"/>
  <c r="D1644" i="37"/>
  <c r="C1645" i="37"/>
  <c r="D1645" i="37"/>
  <c r="C1647" i="37"/>
  <c r="H1647" i="37" s="1"/>
  <c r="D1647" i="37"/>
  <c r="C1648" i="37"/>
  <c r="D1648" i="37"/>
  <c r="H1648" i="37" s="1"/>
  <c r="C1649" i="37"/>
  <c r="H1649" i="37" s="1"/>
  <c r="D1649" i="37"/>
  <c r="B1649" i="37"/>
  <c r="C1650" i="37"/>
  <c r="D1650" i="37"/>
  <c r="H1650" i="37" s="1"/>
  <c r="C1651" i="37"/>
  <c r="D1651" i="37"/>
  <c r="C1652" i="37"/>
  <c r="D1652" i="37"/>
  <c r="H1652" i="37" s="1"/>
  <c r="C1653" i="37"/>
  <c r="D1653" i="37"/>
  <c r="B1653" i="37"/>
  <c r="C1656" i="37"/>
  <c r="H1656" i="37" s="1"/>
  <c r="D1656" i="37"/>
  <c r="C1657" i="37"/>
  <c r="D1657" i="37"/>
  <c r="C1658" i="37"/>
  <c r="D1658" i="37"/>
  <c r="G1658" i="37" s="1"/>
  <c r="C1659" i="37"/>
  <c r="D1659" i="37"/>
  <c r="C1660" i="37"/>
  <c r="H1660" i="37" s="1"/>
  <c r="D1660" i="37"/>
  <c r="C1661" i="37"/>
  <c r="D1661" i="37"/>
  <c r="C1662" i="37"/>
  <c r="D1662" i="37"/>
  <c r="C1663" i="37"/>
  <c r="D1663" i="37"/>
  <c r="C1664" i="37"/>
  <c r="H1664" i="37" s="1"/>
  <c r="D1664" i="37"/>
  <c r="C1665" i="37"/>
  <c r="D1665" i="37"/>
  <c r="C1666" i="37"/>
  <c r="H1666" i="37" s="1"/>
  <c r="D1666" i="37"/>
  <c r="C1667" i="37"/>
  <c r="D1667" i="37"/>
  <c r="C1668" i="37"/>
  <c r="H1668" i="37" s="1"/>
  <c r="D1668" i="37"/>
  <c r="C1669" i="37"/>
  <c r="D1669" i="37"/>
  <c r="C1670" i="37"/>
  <c r="H1670" i="37" s="1"/>
  <c r="D1670" i="37"/>
  <c r="C1671" i="37"/>
  <c r="D1671" i="37"/>
  <c r="C1673" i="37"/>
  <c r="D1673" i="37"/>
  <c r="C1674" i="37"/>
  <c r="H1674" i="37" s="1"/>
  <c r="D1674" i="37"/>
  <c r="C1675" i="37"/>
  <c r="G1675" i="37" s="1"/>
  <c r="D1675" i="37"/>
  <c r="C1676" i="37"/>
  <c r="B1676" i="37"/>
  <c r="D1676" i="37"/>
  <c r="H1676" i="37" s="1"/>
  <c r="C1677" i="37"/>
  <c r="D1677" i="37"/>
  <c r="C1678" i="37"/>
  <c r="D1678" i="37"/>
  <c r="G1678" i="37" s="1"/>
  <c r="C1679" i="37"/>
  <c r="H1679" i="37" s="1"/>
  <c r="D1679" i="37"/>
  <c r="C1680" i="37"/>
  <c r="D1680" i="37"/>
  <c r="G1680" i="37" s="1"/>
  <c r="C1681" i="37"/>
  <c r="D1681" i="37"/>
  <c r="C1683" i="37"/>
  <c r="D1683" i="37"/>
  <c r="G1683" i="37" s="1"/>
  <c r="C1684" i="37"/>
  <c r="D1684" i="37"/>
  <c r="C1688" i="37"/>
  <c r="D1688" i="37"/>
  <c r="C1689" i="37"/>
  <c r="D1689" i="37"/>
  <c r="C1691" i="37"/>
  <c r="D1691" i="37"/>
  <c r="H1691" i="37" s="1"/>
  <c r="C1692" i="37"/>
  <c r="H1692" i="37" s="1"/>
  <c r="D1692" i="37"/>
  <c r="C1693" i="37"/>
  <c r="D1693" i="37"/>
  <c r="G1693" i="37" s="1"/>
  <c r="C1756" i="37"/>
  <c r="H1756" i="37" s="1"/>
  <c r="C1758" i="37"/>
  <c r="H1758" i="37" s="1"/>
  <c r="C1760" i="37"/>
  <c r="C1761" i="37"/>
  <c r="H1761" i="37" s="1"/>
  <c r="C1762" i="37"/>
  <c r="C1763" i="37"/>
  <c r="H1763" i="37" s="1"/>
  <c r="C1764" i="37"/>
  <c r="H1764" i="37" s="1"/>
  <c r="C1765" i="37"/>
  <c r="H1765" i="37" s="1"/>
  <c r="C1766" i="37"/>
  <c r="H1766" i="37" s="1"/>
  <c r="C1767" i="37"/>
  <c r="H1767" i="37" s="1"/>
  <c r="C1769" i="37"/>
  <c r="H1769" i="37" s="1"/>
  <c r="C1770" i="37"/>
  <c r="H1770" i="37" s="1"/>
  <c r="C1771" i="37"/>
  <c r="H1771" i="37" s="1"/>
  <c r="C1772" i="37"/>
  <c r="H1772" i="37" s="1"/>
  <c r="C1773" i="37"/>
  <c r="C1775" i="37"/>
  <c r="C1777" i="37"/>
  <c r="H1777" i="37"/>
  <c r="C1778" i="37"/>
  <c r="H1778" i="37" s="1"/>
  <c r="C1779" i="37"/>
  <c r="H1779" i="37" s="1"/>
  <c r="C1780" i="37"/>
  <c r="H1780" i="37" s="1"/>
  <c r="C1781" i="37"/>
  <c r="H1781" i="37" s="1"/>
  <c r="C1782" i="37"/>
  <c r="H1782" i="37" s="1"/>
  <c r="C1783" i="37"/>
  <c r="H1783" i="37" s="1"/>
  <c r="C1784" i="37"/>
  <c r="H1784" i="37" s="1"/>
  <c r="C1786" i="37"/>
  <c r="H1786" i="37" s="1"/>
  <c r="C1787" i="37"/>
  <c r="H1787" i="37" s="1"/>
  <c r="C1788" i="37"/>
  <c r="H1788" i="37" s="1"/>
  <c r="C1789" i="37"/>
  <c r="H1789" i="37" s="1"/>
  <c r="C1790" i="37"/>
  <c r="H1790" i="37" s="1"/>
  <c r="C1794" i="37"/>
  <c r="H1794" i="37" s="1"/>
  <c r="C1795" i="37"/>
  <c r="H1795" i="37" s="1"/>
  <c r="C1796" i="37"/>
  <c r="H1796" i="37"/>
  <c r="C1797" i="37"/>
  <c r="H1797" i="37" s="1"/>
  <c r="C1800" i="37"/>
  <c r="H1800" i="37" s="1"/>
  <c r="C1801" i="37"/>
  <c r="H1801" i="37" s="1"/>
  <c r="C1802" i="37"/>
  <c r="H1802" i="37" s="1"/>
  <c r="C1803" i="37"/>
  <c r="H1803" i="37"/>
  <c r="C1805" i="37"/>
  <c r="H1805" i="37" s="1"/>
  <c r="C1806" i="37"/>
  <c r="H1806" i="37" s="1"/>
  <c r="C1807" i="37"/>
  <c r="H1807" i="37" s="1"/>
  <c r="C1808" i="37"/>
  <c r="H1808" i="37" s="1"/>
  <c r="C1810" i="37"/>
  <c r="H1810" i="37" s="1"/>
  <c r="C1811" i="37"/>
  <c r="H1811" i="37" s="1"/>
  <c r="C1812" i="37"/>
  <c r="H1812" i="37" s="1"/>
  <c r="C1813" i="37"/>
  <c r="H1813" i="37" s="1"/>
  <c r="C1815" i="37"/>
  <c r="H1815" i="37" s="1"/>
  <c r="C1816" i="37"/>
  <c r="H1816" i="37" s="1"/>
  <c r="C1817" i="37"/>
  <c r="H1817" i="37" s="1"/>
  <c r="C1818" i="37"/>
  <c r="C1820" i="37"/>
  <c r="H1820" i="37" s="1"/>
  <c r="C1821" i="37"/>
  <c r="H1821" i="37" s="1"/>
  <c r="C1822" i="37"/>
  <c r="H1822" i="37" s="1"/>
  <c r="C1823" i="37"/>
  <c r="H1823" i="37" s="1"/>
  <c r="C1825" i="37"/>
  <c r="H1825" i="37" s="1"/>
  <c r="C1826" i="37"/>
  <c r="H1826" i="37" s="1"/>
  <c r="C1827" i="37"/>
  <c r="H1827" i="37" s="1"/>
  <c r="C1828" i="37"/>
  <c r="H1828" i="37" s="1"/>
  <c r="C1830" i="37"/>
  <c r="H1830" i="37" s="1"/>
  <c r="C1831" i="37"/>
  <c r="H1831" i="37" s="1"/>
  <c r="C1832" i="37"/>
  <c r="H1832" i="37" s="1"/>
  <c r="C1833" i="37"/>
  <c r="H1833" i="37" s="1"/>
  <c r="C1835" i="37"/>
  <c r="H1835" i="37" s="1"/>
  <c r="C1836" i="37"/>
  <c r="H1836" i="37" s="1"/>
  <c r="C1837" i="37"/>
  <c r="C1838" i="37"/>
  <c r="H1838" i="37" s="1"/>
  <c r="C1851" i="37"/>
  <c r="H1851" i="37" s="1"/>
  <c r="D1851" i="37"/>
  <c r="C1852" i="37"/>
  <c r="D1852" i="37"/>
  <c r="H1852" i="37" s="1"/>
  <c r="C1853" i="37"/>
  <c r="D1853" i="37"/>
  <c r="H1853" i="37" s="1"/>
  <c r="C1854" i="37"/>
  <c r="H1854" i="37" s="1"/>
  <c r="D1854" i="37"/>
  <c r="C1855" i="37"/>
  <c r="D1855" i="37"/>
  <c r="C1856" i="37"/>
  <c r="D1856" i="37"/>
  <c r="C1858" i="37"/>
  <c r="H1858" i="37" s="1"/>
  <c r="D1858" i="37"/>
  <c r="C1859" i="37"/>
  <c r="D1859" i="37"/>
  <c r="H1859" i="37" s="1"/>
  <c r="C1860" i="37"/>
  <c r="D1860" i="37"/>
  <c r="C1861" i="37"/>
  <c r="H1861" i="37" s="1"/>
  <c r="D1861" i="37"/>
  <c r="C1862" i="37"/>
  <c r="D1862" i="37"/>
  <c r="C1863" i="37"/>
  <c r="D1863" i="37"/>
  <c r="C1864" i="37"/>
  <c r="D1864" i="37"/>
  <c r="H1864" i="37"/>
  <c r="C1865" i="37"/>
  <c r="H1865" i="37" s="1"/>
  <c r="D1865" i="37"/>
  <c r="C1866" i="37"/>
  <c r="H1866" i="37" s="1"/>
  <c r="D1866" i="37"/>
  <c r="C1869" i="37"/>
  <c r="D1869" i="37"/>
  <c r="C1871" i="37"/>
  <c r="H1871" i="37" s="1"/>
  <c r="D1871" i="37"/>
  <c r="C1872" i="37"/>
  <c r="D1872" i="37"/>
  <c r="C1873" i="37"/>
  <c r="H1873" i="37" s="1"/>
  <c r="D1873" i="37"/>
  <c r="C1874" i="37"/>
  <c r="D1874" i="37"/>
  <c r="C1875" i="37"/>
  <c r="H1875" i="37" s="1"/>
  <c r="D1875" i="37"/>
  <c r="C1878" i="37"/>
  <c r="D1878" i="37"/>
  <c r="H1878" i="37" s="1"/>
  <c r="C1879" i="37"/>
  <c r="D1879" i="37"/>
  <c r="H1879" i="37" s="1"/>
  <c r="C1880" i="37"/>
  <c r="D1880" i="37"/>
  <c r="C1881" i="37"/>
  <c r="H1881" i="37" s="1"/>
  <c r="D1881" i="37"/>
  <c r="C1882" i="37"/>
  <c r="D1882" i="37"/>
  <c r="H1882" i="37" s="1"/>
  <c r="C1883" i="37"/>
  <c r="D1883" i="37"/>
  <c r="C1884" i="37"/>
  <c r="H1884" i="37" s="1"/>
  <c r="D1884" i="37"/>
  <c r="C1885" i="37"/>
  <c r="D1885" i="37"/>
  <c r="H1885" i="37"/>
  <c r="C1886" i="37"/>
  <c r="D1886" i="37"/>
  <c r="C1887" i="37"/>
  <c r="D1887" i="37"/>
  <c r="G1887" i="37" s="1"/>
  <c r="C1888" i="37"/>
  <c r="D1888" i="37"/>
  <c r="H1888" i="37" s="1"/>
  <c r="C1889" i="37"/>
  <c r="H1889" i="37" s="1"/>
  <c r="D1889" i="37"/>
  <c r="C1891" i="37"/>
  <c r="H1891" i="37" s="1"/>
  <c r="D1891" i="37"/>
  <c r="C1892" i="37"/>
  <c r="D1892" i="37"/>
  <c r="H1892" i="37" s="1"/>
  <c r="C1893" i="37"/>
  <c r="D1893" i="37"/>
  <c r="C1894" i="37"/>
  <c r="D1894" i="37"/>
  <c r="C1895" i="37"/>
  <c r="D1895" i="37"/>
  <c r="C1896" i="37"/>
  <c r="D1896" i="37"/>
  <c r="H1896" i="37"/>
  <c r="C1897" i="37"/>
  <c r="D1897" i="37"/>
  <c r="H1897" i="37" s="1"/>
  <c r="C1898" i="37"/>
  <c r="D1898" i="37"/>
  <c r="C1899" i="37"/>
  <c r="D1899" i="37"/>
  <c r="H1899" i="37" s="1"/>
  <c r="C1900" i="37"/>
  <c r="D1900" i="37"/>
  <c r="H1900" i="37"/>
  <c r="C1901" i="37"/>
  <c r="D1901" i="37"/>
  <c r="C1902" i="37"/>
  <c r="D1902" i="37"/>
  <c r="H1902" i="37" s="1"/>
  <c r="C1903" i="37"/>
  <c r="D1903" i="37"/>
  <c r="H1903" i="37"/>
  <c r="C1904" i="37"/>
  <c r="H1904" i="37" s="1"/>
  <c r="D1904" i="37"/>
  <c r="C1905" i="37"/>
  <c r="H1905" i="37" s="1"/>
  <c r="D1905" i="37"/>
  <c r="C1906" i="37"/>
  <c r="D1906" i="37"/>
  <c r="H1906" i="37"/>
  <c r="C1907" i="37"/>
  <c r="D1907" i="37"/>
  <c r="H1907" i="37" s="1"/>
  <c r="C1908" i="37"/>
  <c r="D1908" i="37"/>
  <c r="H1908" i="37"/>
  <c r="C1909" i="37"/>
  <c r="D1909" i="37"/>
  <c r="C1910" i="37"/>
  <c r="D1910" i="37"/>
  <c r="C1911" i="37"/>
  <c r="D1911" i="37"/>
  <c r="C1912" i="37"/>
  <c r="D1912" i="37"/>
  <c r="C1913" i="37"/>
  <c r="D1913" i="37"/>
  <c r="H1913" i="37" s="1"/>
  <c r="C1914" i="37"/>
  <c r="H1914" i="37" s="1"/>
  <c r="D1914" i="37"/>
  <c r="C1915" i="37"/>
  <c r="D1915" i="37"/>
  <c r="H1915" i="37"/>
  <c r="C1916" i="37"/>
  <c r="D1916" i="37"/>
  <c r="H1916" i="37" s="1"/>
  <c r="C1917" i="37"/>
  <c r="H1917" i="37" s="1"/>
  <c r="D1917" i="37"/>
  <c r="C1918" i="37"/>
  <c r="H1918" i="37" s="1"/>
  <c r="D1918" i="37"/>
  <c r="C1919" i="37"/>
  <c r="D1919" i="37"/>
  <c r="H1919" i="37" s="1"/>
  <c r="C1920" i="37"/>
  <c r="D1920" i="37"/>
  <c r="H1920" i="37"/>
  <c r="C1921" i="37"/>
  <c r="D1921" i="37"/>
  <c r="C1922" i="37"/>
  <c r="D1922" i="37"/>
  <c r="H1922" i="37" s="1"/>
  <c r="P2" i="3"/>
  <c r="N14" i="3" s="1"/>
  <c r="F15" i="3"/>
  <c r="F239" i="3"/>
  <c r="G239" i="3"/>
  <c r="F240" i="3"/>
  <c r="G240" i="3"/>
  <c r="F241" i="3"/>
  <c r="G241" i="3"/>
  <c r="H1548" i="37"/>
  <c r="H1681" i="37"/>
  <c r="C1695" i="37"/>
  <c r="D1695" i="37"/>
  <c r="H1695" i="37" s="1"/>
  <c r="C1696" i="37"/>
  <c r="G1696" i="37" s="1"/>
  <c r="D1696" i="37"/>
  <c r="C1697" i="37"/>
  <c r="D1697" i="37"/>
  <c r="C1699" i="37"/>
  <c r="G1699" i="37" s="1"/>
  <c r="D1699" i="37"/>
  <c r="C1700" i="37"/>
  <c r="D1700" i="37"/>
  <c r="C1701" i="37"/>
  <c r="H1701" i="37" s="1"/>
  <c r="D1701" i="37"/>
  <c r="C1702" i="37"/>
  <c r="D1702" i="37"/>
  <c r="C1703" i="37"/>
  <c r="H1703" i="37" s="1"/>
  <c r="D1703" i="37"/>
  <c r="C1704" i="37"/>
  <c r="D1704" i="37"/>
  <c r="C1705" i="37"/>
  <c r="D1705" i="37"/>
  <c r="H1705" i="37" s="1"/>
  <c r="C1707" i="37"/>
  <c r="D1707" i="37"/>
  <c r="C1708" i="37"/>
  <c r="D1708" i="37"/>
  <c r="C1709" i="37"/>
  <c r="D1709" i="37"/>
  <c r="B1709" i="37"/>
  <c r="C1710" i="37"/>
  <c r="D1710" i="37"/>
  <c r="C1711" i="37"/>
  <c r="D1711" i="37"/>
  <c r="B1711" i="37"/>
  <c r="C1712" i="37"/>
  <c r="H1712" i="37" s="1"/>
  <c r="D1712" i="37"/>
  <c r="C1713" i="37"/>
  <c r="D1713" i="37"/>
  <c r="H1713" i="37"/>
  <c r="C1714" i="37"/>
  <c r="D1714" i="37"/>
  <c r="C1715" i="37"/>
  <c r="D1715" i="37"/>
  <c r="C1716" i="37"/>
  <c r="D1716" i="37"/>
  <c r="C1717" i="37"/>
  <c r="H1717" i="37" s="1"/>
  <c r="D1717" i="37"/>
  <c r="C1718" i="37"/>
  <c r="D1718" i="37"/>
  <c r="C1719" i="37"/>
  <c r="D1719" i="37"/>
  <c r="C1720" i="37"/>
  <c r="D1720" i="37"/>
  <c r="C1721" i="37"/>
  <c r="H1721" i="37" s="1"/>
  <c r="D1721" i="37"/>
  <c r="C1722" i="37"/>
  <c r="D1722" i="37"/>
  <c r="C1723" i="37"/>
  <c r="D1723" i="37"/>
  <c r="C1724" i="37"/>
  <c r="D1724" i="37"/>
  <c r="C1725" i="37"/>
  <c r="D1725" i="37"/>
  <c r="C1726" i="37"/>
  <c r="D1726" i="37"/>
  <c r="C1727" i="37"/>
  <c r="D1727" i="37"/>
  <c r="C1728" i="37"/>
  <c r="D1728" i="37"/>
  <c r="C1729" i="37"/>
  <c r="D1729" i="37"/>
  <c r="B1729" i="37"/>
  <c r="C1730" i="37"/>
  <c r="D1730" i="37"/>
  <c r="C1731" i="37"/>
  <c r="D1731" i="37"/>
  <c r="C1732" i="37"/>
  <c r="H1732" i="37" s="1"/>
  <c r="D1732" i="37"/>
  <c r="C1733" i="37"/>
  <c r="D1733" i="37"/>
  <c r="C1734" i="37"/>
  <c r="H1734" i="37" s="1"/>
  <c r="D1734" i="37"/>
  <c r="C1735" i="37"/>
  <c r="D1735" i="37"/>
  <c r="B1735" i="37"/>
  <c r="C1736" i="37"/>
  <c r="H1736" i="37" s="1"/>
  <c r="D1736" i="37"/>
  <c r="C1737" i="37"/>
  <c r="D1737" i="37"/>
  <c r="C1738" i="37"/>
  <c r="D1738" i="37"/>
  <c r="C1739" i="37"/>
  <c r="D1739" i="37"/>
  <c r="C1740" i="37"/>
  <c r="D1740" i="37"/>
  <c r="C1741" i="37"/>
  <c r="D1741" i="37"/>
  <c r="C1743" i="37"/>
  <c r="D1743" i="37"/>
  <c r="C1744" i="37"/>
  <c r="D1744" i="37"/>
  <c r="G1744" i="37" s="1"/>
  <c r="C1745" i="37"/>
  <c r="D1745" i="37"/>
  <c r="B1745" i="37"/>
  <c r="C1746" i="37"/>
  <c r="H1746" i="37" s="1"/>
  <c r="D1746" i="37"/>
  <c r="C1747" i="37"/>
  <c r="D1747" i="37"/>
  <c r="C1749" i="37"/>
  <c r="D1749" i="37"/>
  <c r="G1749" i="37" s="1"/>
  <c r="C1751" i="37"/>
  <c r="D1751" i="37"/>
  <c r="C1752" i="37"/>
  <c r="D1752" i="37"/>
  <c r="C1753" i="37"/>
  <c r="D1753" i="37"/>
  <c r="H1753" i="37" s="1"/>
  <c r="F244" i="3"/>
  <c r="G244" i="3"/>
  <c r="F245" i="3"/>
  <c r="G245" i="3"/>
  <c r="F246" i="3"/>
  <c r="G246" i="3"/>
  <c r="F247" i="3"/>
  <c r="G247" i="3"/>
  <c r="F248" i="3"/>
  <c r="G248" i="3"/>
  <c r="F249" i="3"/>
  <c r="G249" i="3"/>
  <c r="F250" i="3"/>
  <c r="G250" i="3"/>
  <c r="E250" i="3" s="1"/>
  <c r="B250" i="3" s="1"/>
  <c r="F251" i="3"/>
  <c r="G251" i="3"/>
  <c r="F252" i="3"/>
  <c r="G252" i="3"/>
  <c r="F253" i="3"/>
  <c r="G253" i="3"/>
  <c r="F254" i="3"/>
  <c r="G254" i="3"/>
  <c r="F255" i="3"/>
  <c r="G255" i="3"/>
  <c r="F256" i="3"/>
  <c r="G256" i="3"/>
  <c r="E256" i="3" s="1"/>
  <c r="B256" i="3" s="1"/>
  <c r="F257" i="3"/>
  <c r="F258" i="3"/>
  <c r="G258" i="3"/>
  <c r="F259" i="3"/>
  <c r="E259" i="3" s="1"/>
  <c r="B259" i="3" s="1"/>
  <c r="G259" i="3"/>
  <c r="F260" i="3"/>
  <c r="G260" i="3"/>
  <c r="H1760" i="37"/>
  <c r="H1762" i="37"/>
  <c r="H1775" i="37"/>
  <c r="H1818" i="37"/>
  <c r="H1837" i="37"/>
  <c r="C1840" i="37"/>
  <c r="H1840" i="37" s="1"/>
  <c r="C1841" i="37"/>
  <c r="H1841" i="37" s="1"/>
  <c r="C1842" i="37"/>
  <c r="H1842" i="37" s="1"/>
  <c r="C1843" i="37"/>
  <c r="H1843" i="37" s="1"/>
  <c r="C1844" i="37"/>
  <c r="H1844" i="37" s="1"/>
  <c r="C1846" i="37"/>
  <c r="H1846" i="37" s="1"/>
  <c r="C1847" i="37"/>
  <c r="H1847" i="37" s="1"/>
  <c r="C1848" i="37"/>
  <c r="H1848" i="37" s="1"/>
  <c r="C1849" i="37"/>
  <c r="H1849" i="37" s="1"/>
  <c r="C1440" i="37"/>
  <c r="H1440" i="37" s="1"/>
  <c r="D1440" i="37"/>
  <c r="C1441" i="37"/>
  <c r="D1441" i="37"/>
  <c r="H1441" i="37"/>
  <c r="C1442" i="37"/>
  <c r="D1442" i="37"/>
  <c r="H1442" i="37" s="1"/>
  <c r="C1443" i="37"/>
  <c r="D1443" i="37"/>
  <c r="H1443" i="37"/>
  <c r="C1444" i="37"/>
  <c r="D1444" i="37"/>
  <c r="C1445" i="37"/>
  <c r="D1445" i="37"/>
  <c r="C1447" i="37"/>
  <c r="H1447" i="37" s="1"/>
  <c r="D1447" i="37"/>
  <c r="C1448" i="37"/>
  <c r="D1448" i="37"/>
  <c r="C1449" i="37"/>
  <c r="D1449" i="37"/>
  <c r="H1449" i="37"/>
  <c r="C1450" i="37"/>
  <c r="B1450" i="37"/>
  <c r="D1450" i="37"/>
  <c r="G1450" i="37"/>
  <c r="C1451" i="37"/>
  <c r="D1451" i="37"/>
  <c r="H1451" i="37" s="1"/>
  <c r="C1452" i="37"/>
  <c r="D1452" i="37"/>
  <c r="C1453" i="37"/>
  <c r="B1453" i="37"/>
  <c r="D1453" i="37"/>
  <c r="C1456" i="37"/>
  <c r="D1456" i="37"/>
  <c r="C1457" i="37"/>
  <c r="D1457" i="37"/>
  <c r="H1457" i="37"/>
  <c r="C1458" i="37"/>
  <c r="D1458" i="37"/>
  <c r="H1458" i="37"/>
  <c r="C1459" i="37"/>
  <c r="H1459" i="37" s="1"/>
  <c r="D1459" i="37"/>
  <c r="C1460" i="37"/>
  <c r="D1460" i="37"/>
  <c r="H1460" i="37"/>
  <c r="C1461" i="37"/>
  <c r="D1461" i="37"/>
  <c r="C1463" i="37"/>
  <c r="D1463" i="37"/>
  <c r="C1464" i="37"/>
  <c r="B1464" i="37"/>
  <c r="G1464" i="37" s="1"/>
  <c r="D1464" i="37"/>
  <c r="H1464" i="37"/>
  <c r="C1465" i="37"/>
  <c r="D1465" i="37"/>
  <c r="C1466" i="37"/>
  <c r="D1466" i="37"/>
  <c r="H1466" i="37" s="1"/>
  <c r="C1467" i="37"/>
  <c r="H1467" i="37" s="1"/>
  <c r="D1467" i="37"/>
  <c r="C1468" i="37"/>
  <c r="D1468" i="37"/>
  <c r="C1469" i="37"/>
  <c r="D1469" i="37"/>
  <c r="H1469" i="37" s="1"/>
  <c r="C1472" i="37"/>
  <c r="H1472" i="37" s="1"/>
  <c r="I1472" i="37" s="1"/>
  <c r="D1472" i="37"/>
  <c r="C1473" i="37"/>
  <c r="D1473" i="37"/>
  <c r="C1474" i="37"/>
  <c r="D1474" i="37"/>
  <c r="C1475" i="37"/>
  <c r="D1475" i="37"/>
  <c r="C1477" i="37"/>
  <c r="D1477" i="37"/>
  <c r="C1478" i="37"/>
  <c r="D1478" i="37"/>
  <c r="H1478" i="37"/>
  <c r="C1479" i="37"/>
  <c r="D1479" i="37"/>
  <c r="H1479" i="37"/>
  <c r="C1480" i="37"/>
  <c r="D1480" i="37"/>
  <c r="B1440" i="37"/>
  <c r="B1441" i="37"/>
  <c r="B1442" i="37"/>
  <c r="G1442" i="37" s="1"/>
  <c r="B1443" i="37"/>
  <c r="G1443" i="37" s="1"/>
  <c r="B1444" i="37"/>
  <c r="B1445" i="37"/>
  <c r="B1447" i="37"/>
  <c r="B1448" i="37"/>
  <c r="B1449" i="37"/>
  <c r="B1451" i="37"/>
  <c r="B1452" i="37"/>
  <c r="B1456" i="37"/>
  <c r="B1457" i="37"/>
  <c r="B1458" i="37"/>
  <c r="B1459" i="37"/>
  <c r="B1460" i="37"/>
  <c r="B1461" i="37"/>
  <c r="G1461" i="37" s="1"/>
  <c r="B1463" i="37"/>
  <c r="B1465" i="37"/>
  <c r="B1466" i="37"/>
  <c r="B1467" i="37"/>
  <c r="B1468" i="37"/>
  <c r="B1469" i="37"/>
  <c r="B1472" i="37"/>
  <c r="B1473" i="37"/>
  <c r="B1474" i="37"/>
  <c r="B1475" i="37"/>
  <c r="B1477" i="37"/>
  <c r="B1478" i="37"/>
  <c r="B1479" i="37"/>
  <c r="B1480" i="37"/>
  <c r="H18" i="3"/>
  <c r="H913" i="37"/>
  <c r="H918" i="37"/>
  <c r="H922" i="37"/>
  <c r="H934" i="37"/>
  <c r="H993" i="37"/>
  <c r="H1007" i="37"/>
  <c r="H1010" i="37"/>
  <c r="H1060" i="37"/>
  <c r="H1069" i="37"/>
  <c r="H1076" i="37"/>
  <c r="H1098" i="37"/>
  <c r="H1101" i="37"/>
  <c r="H1106" i="37"/>
  <c r="H1107" i="37"/>
  <c r="H1113" i="37"/>
  <c r="H1139" i="37"/>
  <c r="H1143" i="37"/>
  <c r="C1166" i="37"/>
  <c r="H1166" i="37" s="1"/>
  <c r="C1167" i="37"/>
  <c r="H1167" i="37" s="1"/>
  <c r="C1169" i="37"/>
  <c r="H1169" i="37" s="1"/>
  <c r="C1170" i="37"/>
  <c r="H1170" i="37" s="1"/>
  <c r="C1171" i="37"/>
  <c r="H1171" i="37" s="1"/>
  <c r="C1172" i="37"/>
  <c r="H1172" i="37" s="1"/>
  <c r="C1173" i="37"/>
  <c r="H1173" i="37" s="1"/>
  <c r="C1174" i="37"/>
  <c r="C1175" i="37"/>
  <c r="H1175" i="37" s="1"/>
  <c r="C1176" i="37"/>
  <c r="H1176" i="37" s="1"/>
  <c r="C1177" i="37"/>
  <c r="H1177" i="37" s="1"/>
  <c r="C1178" i="37"/>
  <c r="H1178" i="37" s="1"/>
  <c r="C1179" i="37"/>
  <c r="H1179" i="37" s="1"/>
  <c r="C1180" i="37"/>
  <c r="H1180" i="37" s="1"/>
  <c r="C1181" i="37"/>
  <c r="H1181" i="37" s="1"/>
  <c r="C1182" i="37"/>
  <c r="H1182" i="37" s="1"/>
  <c r="C1183" i="37"/>
  <c r="H1183" i="37" s="1"/>
  <c r="C1184" i="37"/>
  <c r="C1185" i="37"/>
  <c r="H1185" i="37" s="1"/>
  <c r="C1186" i="37"/>
  <c r="C1187" i="37"/>
  <c r="H1187" i="37" s="1"/>
  <c r="C1188" i="37"/>
  <c r="H1188" i="37" s="1"/>
  <c r="C1189" i="37"/>
  <c r="H1189" i="37" s="1"/>
  <c r="C1190" i="37"/>
  <c r="H1190" i="37" s="1"/>
  <c r="C1191" i="37"/>
  <c r="H1191" i="37"/>
  <c r="C1192" i="37"/>
  <c r="H1192" i="37" s="1"/>
  <c r="C1193" i="37"/>
  <c r="H1193" i="37" s="1"/>
  <c r="C1194" i="37"/>
  <c r="H1194" i="37" s="1"/>
  <c r="C1195" i="37"/>
  <c r="H1195" i="37" s="1"/>
  <c r="C1196" i="37"/>
  <c r="H1196" i="37" s="1"/>
  <c r="C1197" i="37"/>
  <c r="H1197" i="37" s="1"/>
  <c r="C1198" i="37"/>
  <c r="H1198" i="37" s="1"/>
  <c r="C1199" i="37"/>
  <c r="H1199" i="37" s="1"/>
  <c r="C1200" i="37"/>
  <c r="H1200" i="37" s="1"/>
  <c r="C1201" i="37"/>
  <c r="H1201" i="37" s="1"/>
  <c r="C1202" i="37"/>
  <c r="H1202" i="37" s="1"/>
  <c r="C1203" i="37"/>
  <c r="H1203" i="37" s="1"/>
  <c r="C1204" i="37"/>
  <c r="H1204" i="37" s="1"/>
  <c r="C1205" i="37"/>
  <c r="H1205" i="37" s="1"/>
  <c r="C1206" i="37"/>
  <c r="H1206" i="37" s="1"/>
  <c r="C1207" i="37"/>
  <c r="H1207" i="37" s="1"/>
  <c r="C1208" i="37"/>
  <c r="H1208" i="37" s="1"/>
  <c r="C1209" i="37"/>
  <c r="H1209" i="37" s="1"/>
  <c r="C1210" i="37"/>
  <c r="H1210" i="37" s="1"/>
  <c r="C1211" i="37"/>
  <c r="H1211" i="37" s="1"/>
  <c r="C1212" i="37"/>
  <c r="H1212" i="37" s="1"/>
  <c r="C1213" i="37"/>
  <c r="H1213" i="37" s="1"/>
  <c r="C1214" i="37"/>
  <c r="H1214" i="37" s="1"/>
  <c r="C1215" i="37"/>
  <c r="H1215" i="37" s="1"/>
  <c r="C1216" i="37"/>
  <c r="H1216" i="37" s="1"/>
  <c r="C1217" i="37"/>
  <c r="H1217" i="37" s="1"/>
  <c r="C1218" i="37"/>
  <c r="H1218" i="37" s="1"/>
  <c r="C1219" i="37"/>
  <c r="H1219" i="37" s="1"/>
  <c r="C1220" i="37"/>
  <c r="H1220" i="37" s="1"/>
  <c r="C1221" i="37"/>
  <c r="H1221" i="37" s="1"/>
  <c r="C1222" i="37"/>
  <c r="H1222" i="37" s="1"/>
  <c r="C1223" i="37"/>
  <c r="H1223" i="37" s="1"/>
  <c r="C1224" i="37"/>
  <c r="H1224" i="37" s="1"/>
  <c r="C1225" i="37"/>
  <c r="H1225" i="37" s="1"/>
  <c r="C1226" i="37"/>
  <c r="H1226" i="37" s="1"/>
  <c r="C1228" i="37"/>
  <c r="H1228" i="37" s="1"/>
  <c r="C1229" i="37"/>
  <c r="H1229" i="37" s="1"/>
  <c r="C1230" i="37"/>
  <c r="H1230" i="37" s="1"/>
  <c r="C1231" i="37"/>
  <c r="H1231" i="37" s="1"/>
  <c r="C1232" i="37"/>
  <c r="H1232" i="37" s="1"/>
  <c r="C1233" i="37"/>
  <c r="H1233" i="37" s="1"/>
  <c r="C1234" i="37"/>
  <c r="H1234" i="37" s="1"/>
  <c r="C1235" i="37"/>
  <c r="H1235" i="37" s="1"/>
  <c r="C1236" i="37"/>
  <c r="H1236" i="37" s="1"/>
  <c r="C1237" i="37"/>
  <c r="H1237" i="37" s="1"/>
  <c r="C1238" i="37"/>
  <c r="H1238" i="37" s="1"/>
  <c r="C1239" i="37"/>
  <c r="H1239" i="37" s="1"/>
  <c r="C1240" i="37"/>
  <c r="H1240" i="37" s="1"/>
  <c r="C1241" i="37"/>
  <c r="H1241" i="37" s="1"/>
  <c r="C1242" i="37"/>
  <c r="H1242" i="37" s="1"/>
  <c r="C1243" i="37"/>
  <c r="H1243" i="37" s="1"/>
  <c r="C1244" i="37"/>
  <c r="H1244" i="37" s="1"/>
  <c r="C1245" i="37"/>
  <c r="H1245" i="37" s="1"/>
  <c r="C1246" i="37"/>
  <c r="H1246" i="37" s="1"/>
  <c r="C1247" i="37"/>
  <c r="H1247" i="37" s="1"/>
  <c r="C1248" i="37"/>
  <c r="H1248" i="37" s="1"/>
  <c r="C1249" i="37"/>
  <c r="H1249" i="37" s="1"/>
  <c r="C1250" i="37"/>
  <c r="H1250" i="37" s="1"/>
  <c r="C1251" i="37"/>
  <c r="H1251" i="37" s="1"/>
  <c r="C1252" i="37"/>
  <c r="H1252" i="37" s="1"/>
  <c r="C1253" i="37"/>
  <c r="H1253" i="37" s="1"/>
  <c r="C1254" i="37"/>
  <c r="H1254" i="37" s="1"/>
  <c r="C1255" i="37"/>
  <c r="H1255" i="37" s="1"/>
  <c r="C1256" i="37"/>
  <c r="H1256" i="37" s="1"/>
  <c r="C1257" i="37"/>
  <c r="H1257" i="37" s="1"/>
  <c r="C1258" i="37"/>
  <c r="H1258" i="37" s="1"/>
  <c r="C1259" i="37"/>
  <c r="H1259" i="37" s="1"/>
  <c r="C1260" i="37"/>
  <c r="H1260" i="37" s="1"/>
  <c r="C1261" i="37"/>
  <c r="H1261" i="37" s="1"/>
  <c r="C1263" i="37"/>
  <c r="H1263" i="37" s="1"/>
  <c r="C1264" i="37"/>
  <c r="H1264" i="37" s="1"/>
  <c r="C1265" i="37"/>
  <c r="H1265" i="37" s="1"/>
  <c r="C1266" i="37"/>
  <c r="H1266" i="37" s="1"/>
  <c r="C1267" i="37"/>
  <c r="H1267" i="37" s="1"/>
  <c r="C1268" i="37"/>
  <c r="H1268" i="37" s="1"/>
  <c r="C1269" i="37"/>
  <c r="H1269" i="37" s="1"/>
  <c r="C1270" i="37"/>
  <c r="H1270" i="37" s="1"/>
  <c r="C1271" i="37"/>
  <c r="H1271" i="37" s="1"/>
  <c r="C1272" i="37"/>
  <c r="H1272" i="37" s="1"/>
  <c r="C1273" i="37"/>
  <c r="H1273" i="37" s="1"/>
  <c r="C1274" i="37"/>
  <c r="H1274" i="37" s="1"/>
  <c r="C1275" i="37"/>
  <c r="H1275" i="37" s="1"/>
  <c r="C1276" i="37"/>
  <c r="H1276" i="37" s="1"/>
  <c r="C1277" i="37"/>
  <c r="H1277" i="37" s="1"/>
  <c r="C1278" i="37"/>
  <c r="H1278" i="37" s="1"/>
  <c r="C1279" i="37"/>
  <c r="H1279" i="37" s="1"/>
  <c r="C1280" i="37"/>
  <c r="H1280" i="37" s="1"/>
  <c r="C1281" i="37"/>
  <c r="H1281" i="37" s="1"/>
  <c r="C1282" i="37"/>
  <c r="H1282" i="37" s="1"/>
  <c r="C1283" i="37"/>
  <c r="H1283" i="37" s="1"/>
  <c r="C1284" i="37"/>
  <c r="H1284" i="37" s="1"/>
  <c r="C1285" i="37"/>
  <c r="H1285" i="37" s="1"/>
  <c r="C1286" i="37"/>
  <c r="H1286" i="37" s="1"/>
  <c r="C1287" i="37"/>
  <c r="H1287" i="37" s="1"/>
  <c r="C1288" i="37"/>
  <c r="H1288" i="37" s="1"/>
  <c r="C1289" i="37"/>
  <c r="H1289" i="37" s="1"/>
  <c r="C1290" i="37"/>
  <c r="H1290" i="37" s="1"/>
  <c r="C1291" i="37"/>
  <c r="H1291" i="37" s="1"/>
  <c r="C1292" i="37"/>
  <c r="H1292" i="37" s="1"/>
  <c r="C1293" i="37"/>
  <c r="H1293" i="37" s="1"/>
  <c r="C1294" i="37"/>
  <c r="H1294" i="37" s="1"/>
  <c r="C1295" i="37"/>
  <c r="H1295" i="37" s="1"/>
  <c r="C1296" i="37"/>
  <c r="H1296" i="37" s="1"/>
  <c r="C1297" i="37"/>
  <c r="H1297" i="37" s="1"/>
  <c r="C1298" i="37"/>
  <c r="H1298" i="37" s="1"/>
  <c r="F274" i="3"/>
  <c r="E274" i="3" s="1"/>
  <c r="B274" i="3" s="1"/>
  <c r="F275" i="3"/>
  <c r="E275" i="3" s="1"/>
  <c r="B275" i="3" s="1"/>
  <c r="F276" i="3"/>
  <c r="E276" i="3" s="1"/>
  <c r="B276" i="3" s="1"/>
  <c r="F277" i="3"/>
  <c r="E277" i="3" s="1"/>
  <c r="B277" i="3" s="1"/>
  <c r="F278" i="3"/>
  <c r="E278" i="3" s="1"/>
  <c r="B278" i="3" s="1"/>
  <c r="F279" i="3"/>
  <c r="E279" i="3" s="1"/>
  <c r="B279" i="3" s="1"/>
  <c r="F280" i="3"/>
  <c r="E280" i="3" s="1"/>
  <c r="B280" i="3" s="1"/>
  <c r="F281" i="3"/>
  <c r="E281" i="3" s="1"/>
  <c r="B281" i="3" s="1"/>
  <c r="F282" i="3"/>
  <c r="E282" i="3" s="1"/>
  <c r="B282" i="3" s="1"/>
  <c r="F283" i="3"/>
  <c r="E283" i="3" s="1"/>
  <c r="B283" i="3" s="1"/>
  <c r="F284" i="3"/>
  <c r="E284" i="3" s="1"/>
  <c r="B284" i="3" s="1"/>
  <c r="F285" i="3"/>
  <c r="E285" i="3" s="1"/>
  <c r="B285" i="3" s="1"/>
  <c r="F286" i="3"/>
  <c r="E286" i="3" s="1"/>
  <c r="B286" i="3" s="1"/>
  <c r="F287" i="3"/>
  <c r="E287" i="3" s="1"/>
  <c r="B287" i="3" s="1"/>
  <c r="F288" i="3"/>
  <c r="E288" i="3" s="1"/>
  <c r="B288" i="3" s="1"/>
  <c r="F289" i="3"/>
  <c r="E289" i="3" s="1"/>
  <c r="B289" i="3" s="1"/>
  <c r="F290" i="3"/>
  <c r="E290" i="3" s="1"/>
  <c r="B290" i="3" s="1"/>
  <c r="F291" i="3"/>
  <c r="E291" i="3" s="1"/>
  <c r="B291" i="3" s="1"/>
  <c r="F292" i="3"/>
  <c r="E292" i="3" s="1"/>
  <c r="B292" i="3" s="1"/>
  <c r="F293" i="3"/>
  <c r="E293" i="3" s="1"/>
  <c r="B293" i="3" s="1"/>
  <c r="F294" i="3"/>
  <c r="E294" i="3" s="1"/>
  <c r="B294" i="3" s="1"/>
  <c r="F295" i="3"/>
  <c r="E295" i="3" s="1"/>
  <c r="B295" i="3" s="1"/>
  <c r="F296" i="3"/>
  <c r="E296" i="3" s="1"/>
  <c r="B296" i="3" s="1"/>
  <c r="F297" i="3"/>
  <c r="E297" i="3" s="1"/>
  <c r="B297" i="3" s="1"/>
  <c r="F301" i="3"/>
  <c r="G301" i="3"/>
  <c r="H301" i="3"/>
  <c r="F302" i="3"/>
  <c r="E302" i="3" s="1"/>
  <c r="B302" i="3" s="1"/>
  <c r="F304" i="3"/>
  <c r="E304" i="3"/>
  <c r="F305" i="3"/>
  <c r="E305" i="3"/>
  <c r="B305" i="3" s="1"/>
  <c r="F306" i="3"/>
  <c r="E306" i="3" s="1"/>
  <c r="F307" i="3"/>
  <c r="E307" i="3" s="1"/>
  <c r="F308" i="3"/>
  <c r="E308" i="3" s="1"/>
  <c r="B308" i="3" s="1"/>
  <c r="F309" i="3"/>
  <c r="E309" i="3"/>
  <c r="B309" i="3" s="1"/>
  <c r="F310" i="3"/>
  <c r="E310" i="3" s="1"/>
  <c r="B310" i="3" s="1"/>
  <c r="F311" i="3"/>
  <c r="E311" i="3" s="1"/>
  <c r="F312" i="3"/>
  <c r="E312" i="3" s="1"/>
  <c r="F313" i="3"/>
  <c r="E313" i="3" s="1"/>
  <c r="B313" i="3"/>
  <c r="H1856" i="37"/>
  <c r="H1860" i="37"/>
  <c r="H1862" i="37"/>
  <c r="H1872" i="37"/>
  <c r="H1874" i="37"/>
  <c r="H1880" i="37"/>
  <c r="H1886" i="37"/>
  <c r="H1893" i="37"/>
  <c r="H1901" i="37"/>
  <c r="C1923" i="37"/>
  <c r="B1923" i="37"/>
  <c r="G1923" i="37" s="1"/>
  <c r="D1923" i="37"/>
  <c r="C1924" i="37"/>
  <c r="D1924" i="37"/>
  <c r="C1925" i="37"/>
  <c r="D1925" i="37"/>
  <c r="B1925" i="37"/>
  <c r="G1925" i="37"/>
  <c r="C1926" i="37"/>
  <c r="D1926" i="37"/>
  <c r="C1927" i="37"/>
  <c r="D1927" i="37"/>
  <c r="G1927" i="37" s="1"/>
  <c r="B1927" i="37"/>
  <c r="C1928" i="37"/>
  <c r="H1928" i="37" s="1"/>
  <c r="D1928" i="37"/>
  <c r="C1929" i="37"/>
  <c r="H1929" i="37" s="1"/>
  <c r="D1929" i="37"/>
  <c r="C1930" i="37"/>
  <c r="D1930" i="37"/>
  <c r="H1930" i="37" s="1"/>
  <c r="C1931" i="37"/>
  <c r="D1931" i="37"/>
  <c r="H1931" i="37"/>
  <c r="C1932" i="37"/>
  <c r="H1932" i="37" s="1"/>
  <c r="D1932" i="37"/>
  <c r="C1933" i="37"/>
  <c r="D1933" i="37"/>
  <c r="H1933" i="37"/>
  <c r="C1934" i="37"/>
  <c r="D1934" i="37"/>
  <c r="H1934" i="37" s="1"/>
  <c r="C1935" i="37"/>
  <c r="H1935" i="37" s="1"/>
  <c r="D1935" i="37"/>
  <c r="C1936" i="37"/>
  <c r="D1936" i="37"/>
  <c r="C1937" i="37"/>
  <c r="D1937" i="37"/>
  <c r="C1938" i="37"/>
  <c r="H1938" i="37" s="1"/>
  <c r="D1938" i="37"/>
  <c r="D1940" i="37"/>
  <c r="C1941" i="37"/>
  <c r="H1941" i="37" s="1"/>
  <c r="D1941" i="37"/>
  <c r="C1942" i="37"/>
  <c r="D1942" i="37"/>
  <c r="C1943" i="37"/>
  <c r="H1943" i="37" s="1"/>
  <c r="D1943" i="37"/>
  <c r="C1944" i="37"/>
  <c r="D1944" i="37"/>
  <c r="H1944" i="37" s="1"/>
  <c r="C1945" i="37"/>
  <c r="D1945" i="37"/>
  <c r="C1946" i="37"/>
  <c r="D1946" i="37"/>
  <c r="C1947" i="37"/>
  <c r="D1947" i="37"/>
  <c r="H1947" i="37"/>
  <c r="C1948" i="37"/>
  <c r="D1948" i="37"/>
  <c r="C1949" i="37"/>
  <c r="D1949" i="37"/>
  <c r="C1950" i="37"/>
  <c r="D1950" i="37"/>
  <c r="C1951" i="37"/>
  <c r="D1951" i="37"/>
  <c r="H1951" i="37"/>
  <c r="C1952" i="37"/>
  <c r="D1952" i="37"/>
  <c r="H1952" i="37" s="1"/>
  <c r="C1953" i="37"/>
  <c r="H1953" i="37" s="1"/>
  <c r="D1953" i="37"/>
  <c r="C1954" i="37"/>
  <c r="D1954" i="37"/>
  <c r="C1955" i="37"/>
  <c r="D1955" i="37"/>
  <c r="H1955" i="37" s="1"/>
  <c r="C1956" i="37"/>
  <c r="D1956" i="37"/>
  <c r="H1956" i="37"/>
  <c r="C1957" i="37"/>
  <c r="H1957" i="37" s="1"/>
  <c r="D1957" i="37"/>
  <c r="C1958" i="37"/>
  <c r="H1958" i="37" s="1"/>
  <c r="D1958" i="37"/>
  <c r="C1959" i="37"/>
  <c r="D1959" i="37"/>
  <c r="H1959" i="37" s="1"/>
  <c r="C1960" i="37"/>
  <c r="H1960" i="37" s="1"/>
  <c r="D1960" i="37"/>
  <c r="D1961" i="37"/>
  <c r="C1962" i="37"/>
  <c r="G1962" i="37" s="1"/>
  <c r="D1962" i="37"/>
  <c r="C1963" i="37"/>
  <c r="D1963" i="37"/>
  <c r="H1963" i="37"/>
  <c r="C1964" i="37"/>
  <c r="D1964" i="37"/>
  <c r="H1964" i="37" s="1"/>
  <c r="C1965" i="37"/>
  <c r="D1965" i="37"/>
  <c r="C1966" i="37"/>
  <c r="D1966" i="37"/>
  <c r="C1967" i="37"/>
  <c r="D1967" i="37"/>
  <c r="H1967" i="37"/>
  <c r="C1968" i="37"/>
  <c r="D1968" i="37"/>
  <c r="C1969" i="37"/>
  <c r="H1969" i="37" s="1"/>
  <c r="D1969" i="37"/>
  <c r="C1970" i="37"/>
  <c r="D1970" i="37"/>
  <c r="C1971" i="37"/>
  <c r="H1971" i="37" s="1"/>
  <c r="D1971" i="37"/>
  <c r="C1972" i="37"/>
  <c r="D1972" i="37"/>
  <c r="H1972" i="37"/>
  <c r="C1973" i="37"/>
  <c r="D1973" i="37"/>
  <c r="H1973" i="37" s="1"/>
  <c r="C1974" i="37"/>
  <c r="H1974" i="37" s="1"/>
  <c r="D1974" i="37"/>
  <c r="C1975" i="37"/>
  <c r="D1975" i="37"/>
  <c r="G1975" i="37" s="1"/>
  <c r="K47" i="42"/>
  <c r="K46" i="42"/>
  <c r="H23" i="3"/>
  <c r="G23" i="3"/>
  <c r="F299" i="3"/>
  <c r="E299" i="3" s="1"/>
  <c r="E298" i="3" s="1"/>
  <c r="D35" i="39"/>
  <c r="D241" i="39"/>
  <c r="C1130" i="37" s="1"/>
  <c r="H1130" i="37" s="1"/>
  <c r="B1130" i="37"/>
  <c r="D242" i="39"/>
  <c r="C1131" i="37" s="1"/>
  <c r="H1131" i="37" s="1"/>
  <c r="I52" i="42"/>
  <c r="B52" i="42"/>
  <c r="I51" i="42"/>
  <c r="B51" i="42"/>
  <c r="K50" i="42"/>
  <c r="J50" i="42"/>
  <c r="I50" i="42"/>
  <c r="B50" i="42"/>
  <c r="G235" i="3"/>
  <c r="F235" i="3"/>
  <c r="G234" i="3"/>
  <c r="F234" i="3"/>
  <c r="G233" i="3"/>
  <c r="F233" i="3"/>
  <c r="F232" i="3"/>
  <c r="G231" i="3"/>
  <c r="F231" i="3"/>
  <c r="G230" i="3"/>
  <c r="F230" i="3"/>
  <c r="G229" i="3"/>
  <c r="F229" i="3"/>
  <c r="G228" i="3"/>
  <c r="F228" i="3"/>
  <c r="G226" i="3"/>
  <c r="G227" i="3"/>
  <c r="F227" i="3"/>
  <c r="F226" i="3"/>
  <c r="G222" i="3"/>
  <c r="G223" i="3"/>
  <c r="G224" i="3"/>
  <c r="G225" i="3"/>
  <c r="F225" i="3"/>
  <c r="F224" i="3"/>
  <c r="F223" i="3"/>
  <c r="F222" i="3"/>
  <c r="G221" i="3"/>
  <c r="F221" i="3"/>
  <c r="G219" i="3"/>
  <c r="G220" i="3"/>
  <c r="F220" i="3"/>
  <c r="F219" i="3"/>
  <c r="G216" i="3"/>
  <c r="G217" i="3"/>
  <c r="G218" i="3"/>
  <c r="F218" i="3"/>
  <c r="F217" i="3"/>
  <c r="F216" i="3"/>
  <c r="G215" i="3"/>
  <c r="F215" i="3"/>
  <c r="G214" i="3"/>
  <c r="F214" i="3"/>
  <c r="G212" i="3"/>
  <c r="G213" i="3"/>
  <c r="F213" i="3"/>
  <c r="F212" i="3"/>
  <c r="G211" i="3"/>
  <c r="F211" i="3"/>
  <c r="G210" i="3"/>
  <c r="F210" i="3"/>
  <c r="G209" i="3"/>
  <c r="F209" i="3"/>
  <c r="G207" i="3"/>
  <c r="G208" i="3"/>
  <c r="F208" i="3"/>
  <c r="F207" i="3"/>
  <c r="G206" i="3"/>
  <c r="F206" i="3"/>
  <c r="G204" i="3"/>
  <c r="G205" i="3"/>
  <c r="F205" i="3"/>
  <c r="F204" i="3"/>
  <c r="G203" i="3"/>
  <c r="F203" i="3"/>
  <c r="G200" i="3"/>
  <c r="G201" i="3"/>
  <c r="G202" i="3"/>
  <c r="F202" i="3"/>
  <c r="F201" i="3"/>
  <c r="F200" i="3"/>
  <c r="G199" i="3"/>
  <c r="F199" i="3"/>
  <c r="G198" i="3"/>
  <c r="F198" i="3"/>
  <c r="G197" i="3"/>
  <c r="F197" i="3"/>
  <c r="G196" i="3"/>
  <c r="F196" i="3"/>
  <c r="G195" i="3"/>
  <c r="F195" i="3"/>
  <c r="G194" i="3"/>
  <c r="F194" i="3"/>
  <c r="G193" i="3"/>
  <c r="F193" i="3"/>
  <c r="G192" i="3"/>
  <c r="F192" i="3"/>
  <c r="G191" i="3"/>
  <c r="F191" i="3"/>
  <c r="G190" i="3"/>
  <c r="F190" i="3"/>
  <c r="G189" i="3"/>
  <c r="F189" i="3"/>
  <c r="G188" i="3"/>
  <c r="F188" i="3"/>
  <c r="G187" i="3"/>
  <c r="F187" i="3"/>
  <c r="G186" i="3"/>
  <c r="F186" i="3"/>
  <c r="G185" i="3"/>
  <c r="F185" i="3"/>
  <c r="G184" i="3"/>
  <c r="F184" i="3"/>
  <c r="G183" i="3"/>
  <c r="F183" i="3"/>
  <c r="G182" i="3"/>
  <c r="F182" i="3"/>
  <c r="G181" i="3"/>
  <c r="F181" i="3"/>
  <c r="G180" i="3"/>
  <c r="F180" i="3"/>
  <c r="G179" i="3"/>
  <c r="F179" i="3"/>
  <c r="G178" i="3"/>
  <c r="F178" i="3"/>
  <c r="G177" i="3"/>
  <c r="F177" i="3"/>
  <c r="G176" i="3"/>
  <c r="F176" i="3"/>
  <c r="F236" i="3"/>
  <c r="E236" i="3" s="1"/>
  <c r="B236" i="3" s="1"/>
  <c r="D157" i="1"/>
  <c r="C147" i="37" s="1"/>
  <c r="D471" i="1"/>
  <c r="C459" i="37" s="1"/>
  <c r="F175" i="3"/>
  <c r="G175" i="3"/>
  <c r="E471" i="1"/>
  <c r="D459" i="37" s="1"/>
  <c r="A5" i="42"/>
  <c r="B2" i="37"/>
  <c r="B3" i="37"/>
  <c r="B4" i="37"/>
  <c r="B5" i="37"/>
  <c r="B6" i="37"/>
  <c r="G6" i="37"/>
  <c r="B7" i="37"/>
  <c r="B8" i="37"/>
  <c r="B9" i="37"/>
  <c r="B10" i="37"/>
  <c r="B11" i="37"/>
  <c r="B12" i="37"/>
  <c r="B13" i="37"/>
  <c r="B14" i="37"/>
  <c r="B15" i="37"/>
  <c r="B16" i="37"/>
  <c r="B17" i="37"/>
  <c r="G17" i="37" s="1"/>
  <c r="B18" i="37"/>
  <c r="B19" i="37"/>
  <c r="B20" i="37"/>
  <c r="B21" i="37"/>
  <c r="B23" i="37"/>
  <c r="B25" i="37"/>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G60" i="37"/>
  <c r="B61" i="37"/>
  <c r="B62" i="37"/>
  <c r="B63" i="37"/>
  <c r="G63" i="37" s="1"/>
  <c r="B64" i="37"/>
  <c r="B65" i="37"/>
  <c r="B66" i="37"/>
  <c r="B67" i="37"/>
  <c r="B68" i="37"/>
  <c r="B69" i="37"/>
  <c r="B70" i="37"/>
  <c r="B71" i="37"/>
  <c r="B72" i="37"/>
  <c r="B73" i="37"/>
  <c r="B74" i="37"/>
  <c r="B75" i="37"/>
  <c r="G75" i="37" s="1"/>
  <c r="B76" i="37"/>
  <c r="B77" i="37"/>
  <c r="B79" i="37"/>
  <c r="B81" i="37"/>
  <c r="B82" i="37"/>
  <c r="B83" i="37"/>
  <c r="B84" i="37"/>
  <c r="G84" i="37"/>
  <c r="B85" i="37"/>
  <c r="B86" i="37"/>
  <c r="B87" i="37"/>
  <c r="G87" i="37" s="1"/>
  <c r="B88" i="37"/>
  <c r="G88" i="37" s="1"/>
  <c r="B89" i="37"/>
  <c r="B90" i="37"/>
  <c r="B91" i="37"/>
  <c r="B92" i="37"/>
  <c r="B93" i="37"/>
  <c r="B94" i="37"/>
  <c r="B95" i="37"/>
  <c r="B96" i="37"/>
  <c r="B97" i="37"/>
  <c r="B98" i="37"/>
  <c r="B99" i="37"/>
  <c r="B100" i="37"/>
  <c r="B102" i="37"/>
  <c r="B103" i="37"/>
  <c r="B104" i="37"/>
  <c r="B105" i="37"/>
  <c r="B106" i="37"/>
  <c r="B107" i="37"/>
  <c r="B108" i="37"/>
  <c r="B109" i="37"/>
  <c r="B110" i="37"/>
  <c r="B111" i="37"/>
  <c r="B112" i="37"/>
  <c r="B113" i="37"/>
  <c r="G113" i="37"/>
  <c r="B114" i="37"/>
  <c r="B115" i="37"/>
  <c r="B116" i="37"/>
  <c r="B117" i="37"/>
  <c r="G117" i="37"/>
  <c r="B118" i="37"/>
  <c r="B119" i="37"/>
  <c r="B120" i="37"/>
  <c r="B121" i="37"/>
  <c r="B122" i="37"/>
  <c r="B123" i="37"/>
  <c r="B124" i="37"/>
  <c r="B125" i="37"/>
  <c r="G125" i="37" s="1"/>
  <c r="B126" i="37"/>
  <c r="B127" i="37"/>
  <c r="G127" i="37" s="1"/>
  <c r="B128" i="37"/>
  <c r="B129" i="37"/>
  <c r="B130" i="37"/>
  <c r="B131" i="37"/>
  <c r="B132" i="37"/>
  <c r="G132" i="37"/>
  <c r="B133" i="37"/>
  <c r="B134" i="37"/>
  <c r="B135" i="37"/>
  <c r="B136" i="37"/>
  <c r="B137" i="37"/>
  <c r="G137" i="37" s="1"/>
  <c r="B138" i="37"/>
  <c r="G138" i="37" s="1"/>
  <c r="B139" i="37"/>
  <c r="B140" i="37"/>
  <c r="B141" i="37"/>
  <c r="G141" i="37"/>
  <c r="B142" i="37"/>
  <c r="B143" i="37"/>
  <c r="B144" i="37"/>
  <c r="B146" i="37"/>
  <c r="B147" i="37"/>
  <c r="B148" i="37"/>
  <c r="B149" i="37"/>
  <c r="B150" i="37"/>
  <c r="B152" i="37"/>
  <c r="B153" i="37"/>
  <c r="B154" i="37"/>
  <c r="B155" i="37"/>
  <c r="B156" i="37"/>
  <c r="B157" i="37"/>
  <c r="B158" i="37"/>
  <c r="B159" i="37"/>
  <c r="B160" i="37"/>
  <c r="B161" i="37"/>
  <c r="B162" i="37"/>
  <c r="B163" i="37"/>
  <c r="B164" i="37"/>
  <c r="B165" i="37"/>
  <c r="B166" i="37"/>
  <c r="B167" i="37"/>
  <c r="B168" i="37"/>
  <c r="B169" i="37"/>
  <c r="B170" i="37"/>
  <c r="B171" i="37"/>
  <c r="B172" i="37"/>
  <c r="B173" i="37"/>
  <c r="B174" i="37"/>
  <c r="B175" i="37"/>
  <c r="B176" i="37"/>
  <c r="B177" i="37"/>
  <c r="B178" i="37"/>
  <c r="B179" i="37"/>
  <c r="B180" i="37"/>
  <c r="B181" i="37"/>
  <c r="B182" i="37"/>
  <c r="B183" i="37"/>
  <c r="B184" i="37"/>
  <c r="B185" i="37"/>
  <c r="B186" i="37"/>
  <c r="B188" i="37"/>
  <c r="B189" i="37"/>
  <c r="B190" i="37"/>
  <c r="B191" i="37"/>
  <c r="B192" i="37"/>
  <c r="G192" i="37"/>
  <c r="B193" i="37"/>
  <c r="B194" i="37"/>
  <c r="B195" i="37"/>
  <c r="B196" i="37"/>
  <c r="B197" i="37"/>
  <c r="B198" i="37"/>
  <c r="B199" i="37"/>
  <c r="B200" i="37"/>
  <c r="B201" i="37"/>
  <c r="B202" i="37"/>
  <c r="B203" i="37"/>
  <c r="G203" i="37" s="1"/>
  <c r="B204" i="37"/>
  <c r="B205" i="37"/>
  <c r="B206" i="37"/>
  <c r="B207" i="37"/>
  <c r="B208" i="37"/>
  <c r="B209" i="37"/>
  <c r="G209" i="37"/>
  <c r="B210" i="37"/>
  <c r="B211" i="37"/>
  <c r="B212" i="37"/>
  <c r="B213" i="37"/>
  <c r="B214" i="37"/>
  <c r="B215" i="37"/>
  <c r="G215" i="37"/>
  <c r="B216" i="37"/>
  <c r="B217" i="37"/>
  <c r="B218" i="37"/>
  <c r="B219" i="37"/>
  <c r="B220" i="37"/>
  <c r="B221" i="37"/>
  <c r="B222" i="37"/>
  <c r="B223" i="37"/>
  <c r="G223" i="37"/>
  <c r="B224" i="37"/>
  <c r="B225" i="37"/>
  <c r="B226" i="37"/>
  <c r="B227" i="37"/>
  <c r="B228" i="37"/>
  <c r="B229" i="37"/>
  <c r="B230" i="37"/>
  <c r="B231" i="37"/>
  <c r="G231" i="37" s="1"/>
  <c r="B232" i="37"/>
  <c r="B233" i="37"/>
  <c r="B234" i="37"/>
  <c r="G234" i="37"/>
  <c r="B235" i="37"/>
  <c r="B236" i="37"/>
  <c r="B237" i="37"/>
  <c r="B238" i="37"/>
  <c r="B239" i="37"/>
  <c r="B240" i="37"/>
  <c r="B241" i="37"/>
  <c r="G241" i="37" s="1"/>
  <c r="B242" i="37"/>
  <c r="B243" i="37"/>
  <c r="B244" i="37"/>
  <c r="B245" i="37"/>
  <c r="B246" i="37"/>
  <c r="B247" i="37"/>
  <c r="B248" i="37"/>
  <c r="B249" i="37"/>
  <c r="B250" i="37"/>
  <c r="B251" i="37"/>
  <c r="B252" i="37"/>
  <c r="B253" i="37"/>
  <c r="B254" i="37"/>
  <c r="B255" i="37"/>
  <c r="B256" i="37"/>
  <c r="B257" i="37"/>
  <c r="G257" i="37"/>
  <c r="B258" i="37"/>
  <c r="B259" i="37"/>
  <c r="G259" i="37" s="1"/>
  <c r="B260" i="37"/>
  <c r="G260" i="37" s="1"/>
  <c r="B261" i="37"/>
  <c r="B262" i="37"/>
  <c r="B263" i="37"/>
  <c r="B264" i="37"/>
  <c r="B265" i="37"/>
  <c r="B266" i="37"/>
  <c r="B267" i="37"/>
  <c r="B268" i="37"/>
  <c r="B269" i="37"/>
  <c r="B270" i="37"/>
  <c r="B271" i="37"/>
  <c r="B272" i="37"/>
  <c r="B273" i="37"/>
  <c r="B274" i="37"/>
  <c r="B275" i="37"/>
  <c r="B276" i="37"/>
  <c r="B277" i="37"/>
  <c r="B278" i="37"/>
  <c r="B279" i="37"/>
  <c r="B280" i="37"/>
  <c r="B281" i="37"/>
  <c r="B282" i="37"/>
  <c r="B283" i="37"/>
  <c r="B284" i="37"/>
  <c r="B285" i="37"/>
  <c r="B286" i="37"/>
  <c r="B287" i="37"/>
  <c r="G287" i="37"/>
  <c r="B288" i="37"/>
  <c r="B289" i="37"/>
  <c r="B290" i="37"/>
  <c r="G290" i="37" s="1"/>
  <c r="B291" i="37"/>
  <c r="B292" i="37"/>
  <c r="B293" i="37"/>
  <c r="B294" i="37"/>
  <c r="B295" i="37"/>
  <c r="B297" i="37"/>
  <c r="B298" i="37"/>
  <c r="B299" i="37"/>
  <c r="B300" i="37"/>
  <c r="B301" i="37"/>
  <c r="B302" i="37"/>
  <c r="B303" i="37"/>
  <c r="B304" i="37"/>
  <c r="B305" i="37"/>
  <c r="B306" i="37"/>
  <c r="B307" i="37"/>
  <c r="B308" i="37"/>
  <c r="G308" i="37"/>
  <c r="B309" i="37"/>
  <c r="B310" i="37"/>
  <c r="B311" i="37"/>
  <c r="B312" i="37"/>
  <c r="G312" i="37" s="1"/>
  <c r="B313" i="37"/>
  <c r="G313" i="37"/>
  <c r="B314" i="37"/>
  <c r="B315" i="37"/>
  <c r="G315" i="37"/>
  <c r="B316" i="37"/>
  <c r="B317" i="37"/>
  <c r="B318" i="37"/>
  <c r="B319" i="37"/>
  <c r="B320" i="37"/>
  <c r="B321" i="37"/>
  <c r="B322" i="37"/>
  <c r="B323" i="37"/>
  <c r="B324" i="37"/>
  <c r="B325" i="37"/>
  <c r="B326" i="37"/>
  <c r="B327" i="37"/>
  <c r="B328" i="37"/>
  <c r="B329" i="37"/>
  <c r="B330" i="37"/>
  <c r="B331" i="37"/>
  <c r="B332" i="37"/>
  <c r="B333" i="37"/>
  <c r="B334" i="37"/>
  <c r="B335" i="37"/>
  <c r="B336" i="37"/>
  <c r="B337" i="37"/>
  <c r="B338" i="37"/>
  <c r="B339" i="37"/>
  <c r="B340" i="37"/>
  <c r="B341" i="37"/>
  <c r="B342" i="37"/>
  <c r="B343" i="37"/>
  <c r="B344" i="37"/>
  <c r="B345" i="37"/>
  <c r="B346" i="37"/>
  <c r="B347" i="37"/>
  <c r="B348" i="37"/>
  <c r="B349" i="37"/>
  <c r="B350" i="37"/>
  <c r="G350" i="37" s="1"/>
  <c r="B351" i="37"/>
  <c r="B352" i="37"/>
  <c r="B353" i="37"/>
  <c r="B354" i="37"/>
  <c r="B355" i="37"/>
  <c r="G355" i="37" s="1"/>
  <c r="B356" i="37"/>
  <c r="B357" i="37"/>
  <c r="B358" i="37"/>
  <c r="B359" i="37"/>
  <c r="B360" i="37"/>
  <c r="B361" i="37"/>
  <c r="B362" i="37"/>
  <c r="B363" i="37"/>
  <c r="B365" i="37"/>
  <c r="B366" i="37"/>
  <c r="B367" i="37"/>
  <c r="B368" i="37"/>
  <c r="B369" i="37"/>
  <c r="B370" i="37"/>
  <c r="B371" i="37"/>
  <c r="B372" i="37"/>
  <c r="B373" i="37"/>
  <c r="B374" i="37"/>
  <c r="B375" i="37"/>
  <c r="B376" i="37"/>
  <c r="B377" i="37"/>
  <c r="B378" i="37"/>
  <c r="B379" i="37"/>
  <c r="B380" i="37"/>
  <c r="B381" i="37"/>
  <c r="B382" i="37"/>
  <c r="B383" i="37"/>
  <c r="B384" i="37"/>
  <c r="B385" i="37"/>
  <c r="B386" i="37"/>
  <c r="B387" i="37"/>
  <c r="B388" i="37"/>
  <c r="B390" i="37"/>
  <c r="B391" i="37"/>
  <c r="B392" i="37"/>
  <c r="B393" i="37"/>
  <c r="B395" i="37"/>
  <c r="B396" i="37"/>
  <c r="B397" i="37"/>
  <c r="B398" i="37"/>
  <c r="B399" i="37"/>
  <c r="B400" i="37"/>
  <c r="B401" i="37"/>
  <c r="B402" i="37"/>
  <c r="B403" i="37"/>
  <c r="B404" i="37"/>
  <c r="B405" i="37"/>
  <c r="B406" i="37"/>
  <c r="B407" i="37"/>
  <c r="B408" i="37"/>
  <c r="B409" i="37"/>
  <c r="B410" i="37"/>
  <c r="B411" i="37"/>
  <c r="B412" i="37"/>
  <c r="G412" i="37"/>
  <c r="B413" i="37"/>
  <c r="B414" i="37"/>
  <c r="B415" i="37"/>
  <c r="B416" i="37"/>
  <c r="B417" i="37"/>
  <c r="B418" i="37"/>
  <c r="B420" i="37"/>
  <c r="B421" i="37"/>
  <c r="B422" i="37"/>
  <c r="B424" i="37"/>
  <c r="B425" i="37"/>
  <c r="B426" i="37"/>
  <c r="B427" i="37"/>
  <c r="B428" i="37"/>
  <c r="B429" i="37"/>
  <c r="B430" i="37"/>
  <c r="B431" i="37"/>
  <c r="B432" i="37"/>
  <c r="B433" i="37"/>
  <c r="B434" i="37"/>
  <c r="B435" i="37"/>
  <c r="B436" i="37"/>
  <c r="G436" i="37" s="1"/>
  <c r="B437" i="37"/>
  <c r="B438" i="37"/>
  <c r="B439" i="37"/>
  <c r="B440" i="37"/>
  <c r="G440" i="37" s="1"/>
  <c r="B441" i="37"/>
  <c r="B442" i="37"/>
  <c r="B443" i="37"/>
  <c r="B444" i="37"/>
  <c r="B445" i="37"/>
  <c r="B446" i="37"/>
  <c r="B447" i="37"/>
  <c r="B448" i="37"/>
  <c r="B449" i="37"/>
  <c r="B450" i="37"/>
  <c r="B451" i="37"/>
  <c r="B452" i="37"/>
  <c r="B453" i="37"/>
  <c r="B454" i="37"/>
  <c r="B455" i="37"/>
  <c r="B456" i="37"/>
  <c r="B457" i="37"/>
  <c r="B458" i="37"/>
  <c r="B459" i="37"/>
  <c r="B460" i="37"/>
  <c r="B461" i="37"/>
  <c r="B462" i="37"/>
  <c r="B463" i="37"/>
  <c r="G463" i="37" s="1"/>
  <c r="B464" i="37"/>
  <c r="B465" i="37"/>
  <c r="B466" i="37"/>
  <c r="B467" i="37"/>
  <c r="B468" i="37"/>
  <c r="B469" i="37"/>
  <c r="B470" i="37"/>
  <c r="B471" i="37"/>
  <c r="B472" i="37"/>
  <c r="B473" i="37"/>
  <c r="B474" i="37"/>
  <c r="G474" i="37" s="1"/>
  <c r="B475" i="37"/>
  <c r="B476" i="37"/>
  <c r="B477" i="37"/>
  <c r="B478" i="37"/>
  <c r="B479" i="37"/>
  <c r="B480" i="37"/>
  <c r="B481" i="37"/>
  <c r="B482" i="37"/>
  <c r="B483" i="37"/>
  <c r="G483" i="37"/>
  <c r="B484" i="37"/>
  <c r="B485" i="37"/>
  <c r="B486" i="37"/>
  <c r="G486" i="37"/>
  <c r="B487" i="37"/>
  <c r="B488" i="37"/>
  <c r="B489" i="37"/>
  <c r="G489" i="37" s="1"/>
  <c r="B490" i="37"/>
  <c r="B491" i="37"/>
  <c r="B492" i="37"/>
  <c r="B493" i="37"/>
  <c r="B494" i="37"/>
  <c r="G494" i="37" s="1"/>
  <c r="B495" i="37"/>
  <c r="G495" i="37" s="1"/>
  <c r="B496" i="37"/>
  <c r="G496" i="37" s="1"/>
  <c r="B497" i="37"/>
  <c r="B498" i="37"/>
  <c r="B499" i="37"/>
  <c r="B500" i="37"/>
  <c r="B501" i="37"/>
  <c r="B502" i="37"/>
  <c r="B503" i="37"/>
  <c r="G503" i="37" s="1"/>
  <c r="B504" i="37"/>
  <c r="B505" i="37"/>
  <c r="B506" i="37"/>
  <c r="B507" i="37"/>
  <c r="B508" i="37"/>
  <c r="B509" i="37"/>
  <c r="B510" i="37"/>
  <c r="B511" i="37"/>
  <c r="B512" i="37"/>
  <c r="B513" i="37"/>
  <c r="B514" i="37"/>
  <c r="B515" i="37"/>
  <c r="B516" i="37"/>
  <c r="B517" i="37"/>
  <c r="G517" i="37" s="1"/>
  <c r="B518" i="37"/>
  <c r="B519" i="37"/>
  <c r="B520" i="37"/>
  <c r="B521" i="37"/>
  <c r="B522" i="37"/>
  <c r="B523" i="37"/>
  <c r="B524" i="37"/>
  <c r="B525" i="37"/>
  <c r="B526" i="37"/>
  <c r="B527" i="37"/>
  <c r="B528" i="37"/>
  <c r="B529" i="37"/>
  <c r="B530" i="37"/>
  <c r="G530" i="37"/>
  <c r="B531" i="37"/>
  <c r="B532" i="37"/>
  <c r="B533" i="37"/>
  <c r="B534" i="37"/>
  <c r="B535" i="37"/>
  <c r="B536" i="37"/>
  <c r="B537" i="37"/>
  <c r="B538" i="37"/>
  <c r="B539" i="37"/>
  <c r="G539" i="37"/>
  <c r="B540" i="37"/>
  <c r="B541" i="37"/>
  <c r="B542" i="37"/>
  <c r="B543" i="37"/>
  <c r="B544" i="37"/>
  <c r="B545" i="37"/>
  <c r="B546" i="37"/>
  <c r="B547" i="37"/>
  <c r="B548" i="37"/>
  <c r="B549" i="37"/>
  <c r="B550" i="37"/>
  <c r="B551" i="37"/>
  <c r="B552" i="37"/>
  <c r="B553" i="37"/>
  <c r="B554" i="37"/>
  <c r="B555" i="37"/>
  <c r="B556" i="37"/>
  <c r="B557" i="37"/>
  <c r="B558" i="37"/>
  <c r="B559" i="37"/>
  <c r="B560" i="37"/>
  <c r="B561" i="37"/>
  <c r="B562" i="37"/>
  <c r="B563" i="37"/>
  <c r="B564" i="37"/>
  <c r="B565" i="37"/>
  <c r="B566" i="37"/>
  <c r="B567" i="37"/>
  <c r="B568" i="37"/>
  <c r="B569" i="37"/>
  <c r="B570" i="37"/>
  <c r="G570" i="37"/>
  <c r="B571" i="37"/>
  <c r="B572" i="37"/>
  <c r="B573" i="37"/>
  <c r="B574" i="37"/>
  <c r="B575" i="37"/>
  <c r="B576" i="37"/>
  <c r="B577" i="37"/>
  <c r="B578" i="37"/>
  <c r="B579" i="37"/>
  <c r="B580" i="37"/>
  <c r="B581" i="37"/>
  <c r="B582" i="37"/>
  <c r="B583" i="37"/>
  <c r="G583" i="37"/>
  <c r="B584" i="37"/>
  <c r="B585" i="37"/>
  <c r="B586" i="37"/>
  <c r="B587" i="37"/>
  <c r="B588" i="37"/>
  <c r="B589" i="37"/>
  <c r="B590" i="37"/>
  <c r="B591" i="37"/>
  <c r="B592" i="37"/>
  <c r="B593" i="37"/>
  <c r="G593" i="37" s="1"/>
  <c r="B594" i="37"/>
  <c r="B595" i="37"/>
  <c r="B596" i="37"/>
  <c r="B597" i="37"/>
  <c r="B598" i="37"/>
  <c r="B599" i="37"/>
  <c r="B600" i="37"/>
  <c r="B601" i="37"/>
  <c r="B602" i="37"/>
  <c r="B603" i="37"/>
  <c r="B604" i="37"/>
  <c r="B605" i="37"/>
  <c r="B606" i="37"/>
  <c r="B607" i="37"/>
  <c r="B608" i="37"/>
  <c r="B609" i="37"/>
  <c r="B610" i="37"/>
  <c r="B611" i="37"/>
  <c r="B612" i="37"/>
  <c r="B613" i="37"/>
  <c r="B614" i="37"/>
  <c r="B615" i="37"/>
  <c r="B616" i="37"/>
  <c r="B617" i="37"/>
  <c r="B618" i="37"/>
  <c r="G618" i="37"/>
  <c r="B619" i="37"/>
  <c r="B620" i="37"/>
  <c r="B621" i="37"/>
  <c r="B622" i="37"/>
  <c r="B623" i="37"/>
  <c r="B624" i="37"/>
  <c r="G624" i="37" s="1"/>
  <c r="B625" i="37"/>
  <c r="B626" i="37"/>
  <c r="B627" i="37"/>
  <c r="B628" i="37"/>
  <c r="B629" i="37"/>
  <c r="G629" i="37" s="1"/>
  <c r="B630" i="37"/>
  <c r="B631" i="37"/>
  <c r="B632" i="37"/>
  <c r="B633" i="37"/>
  <c r="B634" i="37"/>
  <c r="B635" i="37"/>
  <c r="B636" i="37"/>
  <c r="B637" i="37"/>
  <c r="B638" i="37"/>
  <c r="G638" i="37"/>
  <c r="B639" i="37"/>
  <c r="G639" i="37"/>
  <c r="B640" i="37"/>
  <c r="B641" i="37"/>
  <c r="B642" i="37"/>
  <c r="B643" i="37"/>
  <c r="B644" i="37"/>
  <c r="B645" i="37"/>
  <c r="B646" i="37"/>
  <c r="B647" i="37"/>
  <c r="B648" i="37"/>
  <c r="B649" i="37"/>
  <c r="B650" i="37"/>
  <c r="B651" i="37"/>
  <c r="B652" i="37"/>
  <c r="B653" i="37"/>
  <c r="B654" i="37"/>
  <c r="B655" i="37"/>
  <c r="B656" i="37"/>
  <c r="B657" i="37"/>
  <c r="B658" i="37"/>
  <c r="B659" i="37"/>
  <c r="B660" i="37"/>
  <c r="B661" i="37"/>
  <c r="G661" i="37"/>
  <c r="B662" i="37"/>
  <c r="B663" i="37"/>
  <c r="G663" i="37"/>
  <c r="B664" i="37"/>
  <c r="B665" i="37"/>
  <c r="B666" i="37"/>
  <c r="B667" i="37"/>
  <c r="B668" i="37"/>
  <c r="B669" i="37"/>
  <c r="B670" i="37"/>
  <c r="B671" i="37"/>
  <c r="B672" i="37"/>
  <c r="G672" i="37" s="1"/>
  <c r="B673" i="37"/>
  <c r="B674" i="37"/>
  <c r="B675" i="37"/>
  <c r="B676" i="37"/>
  <c r="B677" i="37"/>
  <c r="B678" i="37"/>
  <c r="B679" i="37"/>
  <c r="B680" i="37"/>
  <c r="B681" i="37"/>
  <c r="B682" i="37"/>
  <c r="B683" i="37"/>
  <c r="B684" i="37"/>
  <c r="B685" i="37"/>
  <c r="B686" i="37"/>
  <c r="B687" i="37"/>
  <c r="G687" i="37"/>
  <c r="B688" i="37"/>
  <c r="B689" i="37"/>
  <c r="G689" i="37" s="1"/>
  <c r="B690" i="37"/>
  <c r="B691" i="37"/>
  <c r="B692" i="37"/>
  <c r="B693" i="37"/>
  <c r="B694" i="37"/>
  <c r="B695" i="37"/>
  <c r="G695" i="37" s="1"/>
  <c r="B696" i="37"/>
  <c r="B697" i="37"/>
  <c r="B698" i="37"/>
  <c r="B699" i="37"/>
  <c r="B700" i="37"/>
  <c r="B701" i="37"/>
  <c r="B702" i="37"/>
  <c r="B703" i="37"/>
  <c r="B704" i="37"/>
  <c r="G704" i="37"/>
  <c r="B705" i="37"/>
  <c r="B706" i="37"/>
  <c r="B707" i="37"/>
  <c r="B708" i="37"/>
  <c r="B709" i="37"/>
  <c r="B710" i="37"/>
  <c r="B711" i="37"/>
  <c r="B712" i="37"/>
  <c r="B713" i="37"/>
  <c r="B714" i="37"/>
  <c r="B715" i="37"/>
  <c r="B716" i="37"/>
  <c r="B717" i="37"/>
  <c r="G717" i="37"/>
  <c r="B718" i="37"/>
  <c r="B719" i="37"/>
  <c r="B720" i="37"/>
  <c r="G720" i="37"/>
  <c r="B721" i="37"/>
  <c r="B722" i="37"/>
  <c r="B723" i="37"/>
  <c r="B724" i="37"/>
  <c r="B725" i="37"/>
  <c r="B726" i="37"/>
  <c r="B727" i="37"/>
  <c r="B728" i="37"/>
  <c r="G728" i="37" s="1"/>
  <c r="B729" i="37"/>
  <c r="B730" i="37"/>
  <c r="B732" i="37"/>
  <c r="B733" i="37"/>
  <c r="B734" i="37"/>
  <c r="B735" i="37"/>
  <c r="B736" i="37"/>
  <c r="G736" i="37"/>
  <c r="B738" i="37"/>
  <c r="B739" i="37"/>
  <c r="B741" i="37"/>
  <c r="B742" i="37"/>
  <c r="B743" i="37"/>
  <c r="B744" i="37"/>
  <c r="B745" i="37"/>
  <c r="B746" i="37"/>
  <c r="B747" i="37"/>
  <c r="G747" i="37"/>
  <c r="B748" i="37"/>
  <c r="B749" i="37"/>
  <c r="B750" i="37"/>
  <c r="B751" i="37"/>
  <c r="B752" i="37"/>
  <c r="B753" i="37"/>
  <c r="G753" i="37" s="1"/>
  <c r="B754" i="37"/>
  <c r="B755" i="37"/>
  <c r="B756" i="37"/>
  <c r="B757" i="37"/>
  <c r="B758" i="37"/>
  <c r="B759" i="37"/>
  <c r="B760" i="37"/>
  <c r="B761" i="37"/>
  <c r="B762" i="37"/>
  <c r="B763" i="37"/>
  <c r="B764" i="37"/>
  <c r="B765" i="37"/>
  <c r="B766" i="37"/>
  <c r="G766" i="37"/>
  <c r="B767" i="37"/>
  <c r="B768" i="37"/>
  <c r="G768" i="37"/>
  <c r="B769" i="37"/>
  <c r="B770" i="37"/>
  <c r="B771" i="37"/>
  <c r="B772" i="37"/>
  <c r="B773" i="37"/>
  <c r="B774" i="37"/>
  <c r="G774" i="37" s="1"/>
  <c r="B775" i="37"/>
  <c r="B776" i="37"/>
  <c r="G776" i="37" s="1"/>
  <c r="B777" i="37"/>
  <c r="B778" i="37"/>
  <c r="G778" i="37" s="1"/>
  <c r="B779" i="37"/>
  <c r="B780" i="37"/>
  <c r="B781" i="37"/>
  <c r="B782" i="37"/>
  <c r="B783" i="37"/>
  <c r="B784" i="37"/>
  <c r="G784" i="37" s="1"/>
  <c r="B785" i="37"/>
  <c r="B786" i="37"/>
  <c r="B787" i="37"/>
  <c r="B788" i="37"/>
  <c r="B789" i="37"/>
  <c r="B790" i="37"/>
  <c r="B791" i="37"/>
  <c r="B792" i="37"/>
  <c r="B793" i="37"/>
  <c r="B794" i="37"/>
  <c r="B795" i="37"/>
  <c r="B796" i="37"/>
  <c r="B797" i="37"/>
  <c r="B798" i="37"/>
  <c r="B799" i="37"/>
  <c r="B800" i="37"/>
  <c r="B801" i="37"/>
  <c r="B802" i="37"/>
  <c r="B803" i="37"/>
  <c r="B804" i="37"/>
  <c r="B805" i="37"/>
  <c r="B806" i="37"/>
  <c r="B807" i="37"/>
  <c r="B808" i="37"/>
  <c r="G808" i="37" s="1"/>
  <c r="B809" i="37"/>
  <c r="B810" i="37"/>
  <c r="B811" i="37"/>
  <c r="B812" i="37"/>
  <c r="B813" i="37"/>
  <c r="G813" i="37" s="1"/>
  <c r="B814" i="37"/>
  <c r="B815" i="37"/>
  <c r="B816" i="37"/>
  <c r="B817" i="37"/>
  <c r="B818" i="37"/>
  <c r="B819" i="37"/>
  <c r="B820" i="37"/>
  <c r="B821" i="37"/>
  <c r="B822" i="37"/>
  <c r="B823" i="37"/>
  <c r="B824" i="37"/>
  <c r="B825" i="37"/>
  <c r="B826" i="37"/>
  <c r="B827" i="37"/>
  <c r="B828" i="37"/>
  <c r="B829" i="37"/>
  <c r="G829" i="37" s="1"/>
  <c r="B830" i="37"/>
  <c r="B831" i="37"/>
  <c r="B832" i="37"/>
  <c r="B833" i="37"/>
  <c r="B834" i="37"/>
  <c r="B835" i="37"/>
  <c r="B836" i="37"/>
  <c r="B837" i="37"/>
  <c r="G837" i="37"/>
  <c r="B838" i="37"/>
  <c r="B839" i="37"/>
  <c r="B840" i="37"/>
  <c r="B841" i="37"/>
  <c r="B842" i="37"/>
  <c r="B843" i="37"/>
  <c r="G843" i="37" s="1"/>
  <c r="B844" i="37"/>
  <c r="B845" i="37"/>
  <c r="B846" i="37"/>
  <c r="B847" i="37"/>
  <c r="G847" i="37" s="1"/>
  <c r="B848" i="37"/>
  <c r="B849" i="37"/>
  <c r="G849" i="37" s="1"/>
  <c r="B850" i="37"/>
  <c r="B851" i="37"/>
  <c r="G851" i="37" s="1"/>
  <c r="B852" i="37"/>
  <c r="B853" i="37"/>
  <c r="G853" i="37" s="1"/>
  <c r="B854" i="37"/>
  <c r="B855" i="37"/>
  <c r="B856" i="37"/>
  <c r="B857" i="37"/>
  <c r="B858" i="37"/>
  <c r="B859" i="37"/>
  <c r="B860" i="37"/>
  <c r="B861" i="37"/>
  <c r="G861" i="37" s="1"/>
  <c r="B862" i="37"/>
  <c r="B863" i="37"/>
  <c r="G863" i="37" s="1"/>
  <c r="B864" i="37"/>
  <c r="B865" i="37"/>
  <c r="B866" i="37"/>
  <c r="B867" i="37"/>
  <c r="G867" i="37"/>
  <c r="B868" i="37"/>
  <c r="G868" i="37" s="1"/>
  <c r="B869" i="37"/>
  <c r="G869" i="37"/>
  <c r="B870" i="37"/>
  <c r="B871" i="37"/>
  <c r="G871" i="37"/>
  <c r="B872" i="37"/>
  <c r="B873" i="37"/>
  <c r="B874" i="37"/>
  <c r="B875" i="37"/>
  <c r="G875" i="37"/>
  <c r="B876" i="37"/>
  <c r="G876" i="37" s="1"/>
  <c r="B877" i="37"/>
  <c r="G877" i="37"/>
  <c r="B878" i="37"/>
  <c r="G878" i="37" s="1"/>
  <c r="B879" i="37"/>
  <c r="G879" i="37"/>
  <c r="B880" i="37"/>
  <c r="G880" i="37" s="1"/>
  <c r="B881" i="37"/>
  <c r="G881" i="37"/>
  <c r="B882" i="37"/>
  <c r="B883" i="37"/>
  <c r="B884" i="37"/>
  <c r="G884" i="37"/>
  <c r="B885" i="37"/>
  <c r="G885" i="37" s="1"/>
  <c r="B886" i="37"/>
  <c r="B887" i="37"/>
  <c r="B888" i="37"/>
  <c r="B889" i="37"/>
  <c r="G889" i="37"/>
  <c r="B890" i="37"/>
  <c r="B891" i="37"/>
  <c r="B892" i="37"/>
  <c r="B893" i="37"/>
  <c r="B894" i="37"/>
  <c r="B895" i="37"/>
  <c r="G895" i="37" s="1"/>
  <c r="B896" i="37"/>
  <c r="B897" i="37"/>
  <c r="G897" i="37" s="1"/>
  <c r="B898" i="37"/>
  <c r="B899" i="37"/>
  <c r="B900" i="37"/>
  <c r="B901" i="37"/>
  <c r="B902" i="37"/>
  <c r="B903" i="37"/>
  <c r="G903" i="37" s="1"/>
  <c r="B904" i="37"/>
  <c r="B905" i="37"/>
  <c r="B906" i="37"/>
  <c r="G906" i="37" s="1"/>
  <c r="B907" i="37"/>
  <c r="B908" i="37"/>
  <c r="B909" i="37"/>
  <c r="B910" i="37"/>
  <c r="B911" i="37"/>
  <c r="B912" i="37"/>
  <c r="B913" i="37"/>
  <c r="G913" i="37" s="1"/>
  <c r="B914" i="37"/>
  <c r="B915" i="37"/>
  <c r="B916" i="37"/>
  <c r="G916" i="37" s="1"/>
  <c r="B917" i="37"/>
  <c r="B918" i="37"/>
  <c r="G918" i="37" s="1"/>
  <c r="B919" i="37"/>
  <c r="B920" i="37"/>
  <c r="B921" i="37"/>
  <c r="B922" i="37"/>
  <c r="G922" i="37" s="1"/>
  <c r="B923" i="37"/>
  <c r="B924" i="37"/>
  <c r="B925" i="37"/>
  <c r="G925" i="37" s="1"/>
  <c r="B926" i="37"/>
  <c r="G926" i="37" s="1"/>
  <c r="B927" i="37"/>
  <c r="B928" i="37"/>
  <c r="B929" i="37"/>
  <c r="B930" i="37"/>
  <c r="G930" i="37" s="1"/>
  <c r="B931" i="37"/>
  <c r="B932" i="37"/>
  <c r="B933" i="37"/>
  <c r="B934" i="37"/>
  <c r="G934" i="37" s="1"/>
  <c r="B935" i="37"/>
  <c r="G935" i="37" s="1"/>
  <c r="B936" i="37"/>
  <c r="B937" i="37"/>
  <c r="B938" i="37"/>
  <c r="B939" i="37"/>
  <c r="B940" i="37"/>
  <c r="B941" i="37"/>
  <c r="B942" i="37"/>
  <c r="G942" i="37" s="1"/>
  <c r="B943" i="37"/>
  <c r="B944" i="37"/>
  <c r="B945" i="37"/>
  <c r="B946" i="37"/>
  <c r="G946" i="37"/>
  <c r="B947" i="37"/>
  <c r="B948" i="37"/>
  <c r="B949" i="37"/>
  <c r="B950" i="37"/>
  <c r="B951" i="37"/>
  <c r="B952" i="37"/>
  <c r="B953" i="37"/>
  <c r="B954" i="37"/>
  <c r="B955" i="37"/>
  <c r="B956" i="37"/>
  <c r="B957" i="37"/>
  <c r="B958" i="37"/>
  <c r="B959" i="37"/>
  <c r="G959" i="37" s="1"/>
  <c r="B960" i="37"/>
  <c r="B961" i="37"/>
  <c r="B962" i="37"/>
  <c r="B963" i="37"/>
  <c r="B964" i="37"/>
  <c r="B965" i="37"/>
  <c r="B966" i="37"/>
  <c r="B967" i="37"/>
  <c r="G967" i="37" s="1"/>
  <c r="B968" i="37"/>
  <c r="B969" i="37"/>
  <c r="B970" i="37"/>
  <c r="B971" i="37"/>
  <c r="B972" i="37"/>
  <c r="B973" i="37"/>
  <c r="B975" i="37"/>
  <c r="B976" i="37"/>
  <c r="B977" i="37"/>
  <c r="B978" i="37"/>
  <c r="B979" i="37"/>
  <c r="B980" i="37"/>
  <c r="B981" i="37"/>
  <c r="B982" i="37"/>
  <c r="G982" i="37" s="1"/>
  <c r="B983" i="37"/>
  <c r="B984" i="37"/>
  <c r="B985" i="37"/>
  <c r="B986" i="37"/>
  <c r="B987" i="37"/>
  <c r="B988" i="37"/>
  <c r="B989" i="37"/>
  <c r="B990" i="37"/>
  <c r="B991" i="37"/>
  <c r="B992" i="37"/>
  <c r="G992" i="37" s="1"/>
  <c r="B993" i="37"/>
  <c r="G993" i="37" s="1"/>
  <c r="B994" i="37"/>
  <c r="B995" i="37"/>
  <c r="B996" i="37"/>
  <c r="B997" i="37"/>
  <c r="G997" i="37" s="1"/>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G1029" i="37" s="1"/>
  <c r="B1030" i="37"/>
  <c r="B1031" i="37"/>
  <c r="B1032" i="37"/>
  <c r="B1033" i="37"/>
  <c r="B1034" i="37"/>
  <c r="B1035" i="37"/>
  <c r="B1036" i="37"/>
  <c r="B1037" i="37"/>
  <c r="B1038" i="37"/>
  <c r="B1039" i="37"/>
  <c r="B1040" i="37"/>
  <c r="B1041" i="37"/>
  <c r="B1042" i="37"/>
  <c r="B1043" i="37"/>
  <c r="B1044" i="37"/>
  <c r="B1045" i="37"/>
  <c r="G1045" i="37" s="1"/>
  <c r="B1046" i="37"/>
  <c r="B1047" i="37"/>
  <c r="B1048" i="37"/>
  <c r="B1049" i="37"/>
  <c r="B1050" i="37"/>
  <c r="G1050" i="37" s="1"/>
  <c r="B1051" i="37"/>
  <c r="B1052" i="37"/>
  <c r="B1053" i="37"/>
  <c r="B1054" i="37"/>
  <c r="B1055" i="37"/>
  <c r="B1056" i="37"/>
  <c r="B1057" i="37"/>
  <c r="B1058" i="37"/>
  <c r="G1058" i="37" s="1"/>
  <c r="B1059" i="37"/>
  <c r="B1060" i="37"/>
  <c r="G1060" i="37" s="1"/>
  <c r="B1061" i="37"/>
  <c r="B1062" i="37"/>
  <c r="B1063" i="37"/>
  <c r="B1064" i="37"/>
  <c r="B1065" i="37"/>
  <c r="B1066" i="37"/>
  <c r="B1067" i="37"/>
  <c r="B1068" i="37"/>
  <c r="B1069" i="37"/>
  <c r="G1069" i="37" s="1"/>
  <c r="B1070" i="37"/>
  <c r="B1071" i="37"/>
  <c r="G1071" i="37" s="1"/>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G1100" i="37" s="1"/>
  <c r="B1101" i="37"/>
  <c r="G1101" i="37" s="1"/>
  <c r="B1102" i="37"/>
  <c r="B1103" i="37"/>
  <c r="B1104" i="37"/>
  <c r="B1105" i="37"/>
  <c r="B1106" i="37"/>
  <c r="G1106" i="37" s="1"/>
  <c r="B1107" i="37"/>
  <c r="B1108" i="37"/>
  <c r="B1109" i="37"/>
  <c r="B1110" i="37"/>
  <c r="B1111" i="37"/>
  <c r="B1112" i="37"/>
  <c r="B1113" i="37"/>
  <c r="B1114" i="37"/>
  <c r="B1115" i="37"/>
  <c r="G1115" i="37" s="1"/>
  <c r="B1116" i="37"/>
  <c r="B1117" i="37"/>
  <c r="B1118" i="37"/>
  <c r="G1118" i="37" s="1"/>
  <c r="B1119" i="37"/>
  <c r="B1120" i="37"/>
  <c r="B1121" i="37"/>
  <c r="G1121" i="37" s="1"/>
  <c r="B1122" i="37"/>
  <c r="G1122" i="37" s="1"/>
  <c r="B1123" i="37"/>
  <c r="B1124" i="37"/>
  <c r="B1125" i="37"/>
  <c r="B1126" i="37"/>
  <c r="B1127" i="37"/>
  <c r="B1128" i="37"/>
  <c r="B1129" i="37"/>
  <c r="G1129" i="37" s="1"/>
  <c r="B1131" i="37"/>
  <c r="B1132" i="37"/>
  <c r="G1132" i="37" s="1"/>
  <c r="B1133" i="37"/>
  <c r="B1134" i="37"/>
  <c r="G1134" i="37" s="1"/>
  <c r="B1135" i="37"/>
  <c r="G1135" i="37" s="1"/>
  <c r="B1136" i="37"/>
  <c r="B1137" i="37"/>
  <c r="G1137" i="37" s="1"/>
  <c r="B1138" i="37"/>
  <c r="B1139" i="37"/>
  <c r="B1140" i="37"/>
  <c r="B1141" i="37"/>
  <c r="B1142" i="37"/>
  <c r="G1142" i="37" s="1"/>
  <c r="B1143" i="37"/>
  <c r="G1143" i="37" s="1"/>
  <c r="B1144" i="37"/>
  <c r="B1145" i="37"/>
  <c r="B1146" i="37"/>
  <c r="B1147" i="37"/>
  <c r="B1148" i="37"/>
  <c r="G1148" i="37" s="1"/>
  <c r="B1149" i="37"/>
  <c r="B1150" i="37"/>
  <c r="B1151" i="37"/>
  <c r="G1151" i="37" s="1"/>
  <c r="B1152" i="37"/>
  <c r="G1152" i="37" s="1"/>
  <c r="B1153" i="37"/>
  <c r="G1153" i="37" s="1"/>
  <c r="B1154" i="37"/>
  <c r="B1155" i="37"/>
  <c r="B1156" i="37"/>
  <c r="B1157" i="37"/>
  <c r="B1158" i="37"/>
  <c r="G1158" i="37" s="1"/>
  <c r="B1159" i="37"/>
  <c r="B1160" i="37"/>
  <c r="B1161" i="37"/>
  <c r="G1161" i="37" s="1"/>
  <c r="B1162" i="37"/>
  <c r="G1162" i="37" s="1"/>
  <c r="B1163" i="37"/>
  <c r="G1163" i="37" s="1"/>
  <c r="B1164" i="37"/>
  <c r="B1165" i="37"/>
  <c r="G1165" i="37" s="1"/>
  <c r="B1166" i="37"/>
  <c r="B1167" i="37"/>
  <c r="B1168" i="37"/>
  <c r="B1169" i="37"/>
  <c r="G1169" i="37" s="1"/>
  <c r="B1170" i="37"/>
  <c r="G1170" i="37" s="1"/>
  <c r="B1171" i="37"/>
  <c r="B1172" i="37"/>
  <c r="B1173" i="37"/>
  <c r="B1174" i="37"/>
  <c r="G1174" i="37" s="1"/>
  <c r="B1175" i="37"/>
  <c r="B1176" i="37"/>
  <c r="B1177" i="37"/>
  <c r="B1178" i="37"/>
  <c r="G1178" i="37" s="1"/>
  <c r="B1179" i="37"/>
  <c r="B1180" i="37"/>
  <c r="B1181" i="37"/>
  <c r="B1182" i="37"/>
  <c r="B1183" i="37"/>
  <c r="G1183" i="37" s="1"/>
  <c r="B1184" i="37"/>
  <c r="B1185" i="37"/>
  <c r="B1186" i="37"/>
  <c r="G1186" i="37" s="1"/>
  <c r="B1187" i="37"/>
  <c r="B1188" i="37"/>
  <c r="B1189" i="37"/>
  <c r="B1190" i="37"/>
  <c r="G1190" i="37" s="1"/>
  <c r="B1191" i="37"/>
  <c r="B1192" i="37"/>
  <c r="B1193" i="37"/>
  <c r="B1194" i="37"/>
  <c r="B1195" i="37"/>
  <c r="B1196" i="37"/>
  <c r="B1197" i="37"/>
  <c r="G1197" i="37" s="1"/>
  <c r="B1198" i="37"/>
  <c r="G1198" i="37" s="1"/>
  <c r="B1199" i="37"/>
  <c r="B1200" i="37"/>
  <c r="B1201" i="37"/>
  <c r="G1201" i="37" s="1"/>
  <c r="B1202" i="37"/>
  <c r="B1203" i="37"/>
  <c r="B1204" i="37"/>
  <c r="B1205" i="37"/>
  <c r="G1205" i="37" s="1"/>
  <c r="B1206" i="37"/>
  <c r="B1207" i="37"/>
  <c r="B1208" i="37"/>
  <c r="B1209" i="37"/>
  <c r="G1209" i="37" s="1"/>
  <c r="B1210" i="37"/>
  <c r="G1210" i="37" s="1"/>
  <c r="B1211" i="37"/>
  <c r="B1212" i="37"/>
  <c r="B1213" i="37"/>
  <c r="G1213" i="37" s="1"/>
  <c r="B1214" i="37"/>
  <c r="B1215" i="37"/>
  <c r="B1216" i="37"/>
  <c r="G1216" i="37" s="1"/>
  <c r="B1217" i="37"/>
  <c r="G1217" i="37" s="1"/>
  <c r="B1218" i="37"/>
  <c r="B1219" i="37"/>
  <c r="B1220" i="37"/>
  <c r="B1221" i="37"/>
  <c r="G1221" i="37" s="1"/>
  <c r="B1222" i="37"/>
  <c r="G1222" i="37" s="1"/>
  <c r="B1223" i="37"/>
  <c r="B1224" i="37"/>
  <c r="B1225" i="37"/>
  <c r="G1225" i="37" s="1"/>
  <c r="B1226" i="37"/>
  <c r="B1227" i="37"/>
  <c r="B1228" i="37"/>
  <c r="B1229" i="37"/>
  <c r="B1230" i="37"/>
  <c r="B1231" i="37"/>
  <c r="B1232" i="37"/>
  <c r="G1232" i="37" s="1"/>
  <c r="B1233" i="37"/>
  <c r="B1234" i="37"/>
  <c r="B1235" i="37"/>
  <c r="B1236" i="37"/>
  <c r="B1237" i="37"/>
  <c r="B1238" i="37"/>
  <c r="B1239" i="37"/>
  <c r="G1239" i="37" s="1"/>
  <c r="B1240" i="37"/>
  <c r="B1241" i="37"/>
  <c r="B1242" i="37"/>
  <c r="B1243" i="37"/>
  <c r="B1244" i="37"/>
  <c r="B1245" i="37"/>
  <c r="B1246" i="37"/>
  <c r="B1247" i="37"/>
  <c r="B1248" i="37"/>
  <c r="B1249" i="37"/>
  <c r="B1250" i="37"/>
  <c r="G1250" i="37" s="1"/>
  <c r="B1251" i="37"/>
  <c r="B1252" i="37"/>
  <c r="G1252" i="37" s="1"/>
  <c r="B1253" i="37"/>
  <c r="B1254" i="37"/>
  <c r="B1255" i="37"/>
  <c r="B1256" i="37"/>
  <c r="B1257" i="37"/>
  <c r="G1257" i="37"/>
  <c r="B1258" i="37"/>
  <c r="B1259" i="37"/>
  <c r="B1260" i="37"/>
  <c r="B1261" i="37"/>
  <c r="B1262" i="37"/>
  <c r="B1263" i="37"/>
  <c r="B1264" i="37"/>
  <c r="B1265" i="37"/>
  <c r="G1265" i="37" s="1"/>
  <c r="B1266" i="37"/>
  <c r="G1266" i="37" s="1"/>
  <c r="B1267" i="37"/>
  <c r="B1268" i="37"/>
  <c r="B1269" i="37"/>
  <c r="G1269" i="37" s="1"/>
  <c r="B1270" i="37"/>
  <c r="B1271" i="37"/>
  <c r="B1272" i="37"/>
  <c r="B1273" i="37"/>
  <c r="B1274" i="37"/>
  <c r="G1274" i="37" s="1"/>
  <c r="B1275" i="37"/>
  <c r="B1276" i="37"/>
  <c r="B1277" i="37"/>
  <c r="B1278" i="37"/>
  <c r="B1279" i="37"/>
  <c r="B1280" i="37"/>
  <c r="G1280" i="37" s="1"/>
  <c r="B1281" i="37"/>
  <c r="B1282" i="37"/>
  <c r="B1283" i="37"/>
  <c r="B1284" i="37"/>
  <c r="G1284" i="37" s="1"/>
  <c r="B1285" i="37"/>
  <c r="B1286" i="37"/>
  <c r="B1287" i="37"/>
  <c r="G1287" i="37" s="1"/>
  <c r="B1288" i="37"/>
  <c r="B1289" i="37"/>
  <c r="B1290" i="37"/>
  <c r="B1291" i="37"/>
  <c r="B1292" i="37"/>
  <c r="B1293" i="37"/>
  <c r="B1294" i="37"/>
  <c r="B1295" i="37"/>
  <c r="B1296" i="37"/>
  <c r="B1297" i="37"/>
  <c r="B1298" i="37"/>
  <c r="B1299" i="37"/>
  <c r="B1300" i="37"/>
  <c r="B1301" i="37"/>
  <c r="B1303" i="37"/>
  <c r="B1304" i="37"/>
  <c r="G1304" i="37"/>
  <c r="B1305" i="37"/>
  <c r="B1306" i="37"/>
  <c r="B1307" i="37"/>
  <c r="G1307" i="37" s="1"/>
  <c r="B1308" i="37"/>
  <c r="B1309" i="37"/>
  <c r="B1310" i="37"/>
  <c r="G1310" i="37" s="1"/>
  <c r="B1311" i="37"/>
  <c r="B1312" i="37"/>
  <c r="B1313" i="37"/>
  <c r="B1314" i="37"/>
  <c r="B1315" i="37"/>
  <c r="B1316" i="37"/>
  <c r="G1316" i="37" s="1"/>
  <c r="B1317" i="37"/>
  <c r="B1318" i="37"/>
  <c r="B1319" i="37"/>
  <c r="B1320" i="37"/>
  <c r="B1321" i="37"/>
  <c r="B1322" i="37"/>
  <c r="B1323" i="37"/>
  <c r="B1324" i="37"/>
  <c r="B1325" i="37"/>
  <c r="G1325" i="37" s="1"/>
  <c r="B1326" i="37"/>
  <c r="G1326" i="37" s="1"/>
  <c r="B1327" i="37"/>
  <c r="B1328" i="37"/>
  <c r="B1329" i="37"/>
  <c r="B1330" i="37"/>
  <c r="B1331" i="37"/>
  <c r="B1332" i="37"/>
  <c r="G1332" i="37"/>
  <c r="B1333" i="37"/>
  <c r="B1334" i="37"/>
  <c r="B1335" i="37"/>
  <c r="G1335" i="37"/>
  <c r="B1336" i="37"/>
  <c r="G1336" i="37"/>
  <c r="B1337" i="37"/>
  <c r="G1337" i="37"/>
  <c r="B1338" i="37"/>
  <c r="B1339" i="37"/>
  <c r="G1339" i="37" s="1"/>
  <c r="B1340" i="37"/>
  <c r="G1340" i="37"/>
  <c r="B1341" i="37"/>
  <c r="B1342" i="37"/>
  <c r="B1343" i="37"/>
  <c r="G1343" i="37" s="1"/>
  <c r="B1344" i="37"/>
  <c r="G1344" i="37"/>
  <c r="B1345" i="37"/>
  <c r="B1346" i="37"/>
  <c r="B1347" i="37"/>
  <c r="B1348" i="37"/>
  <c r="G1348" i="37" s="1"/>
  <c r="B1349" i="37"/>
  <c r="B1350" i="37"/>
  <c r="B1351" i="37"/>
  <c r="B1352" i="37"/>
  <c r="G1352" i="37" s="1"/>
  <c r="B1353" i="37"/>
  <c r="G1353" i="37"/>
  <c r="B1354" i="37"/>
  <c r="G1354" i="37" s="1"/>
  <c r="B1355" i="37"/>
  <c r="G1355" i="37"/>
  <c r="B1356" i="37"/>
  <c r="B1357" i="37"/>
  <c r="B1358" i="37"/>
  <c r="B1359" i="37"/>
  <c r="B1360" i="37"/>
  <c r="G1360" i="37" s="1"/>
  <c r="B1361" i="37"/>
  <c r="B1362" i="37"/>
  <c r="B1363" i="37"/>
  <c r="B1364" i="37"/>
  <c r="G1364" i="37" s="1"/>
  <c r="B1365" i="37"/>
  <c r="G1365" i="37"/>
  <c r="B1366" i="37"/>
  <c r="G1366" i="37" s="1"/>
  <c r="B1367" i="37"/>
  <c r="B1368" i="37"/>
  <c r="B1369" i="37"/>
  <c r="G1369" i="37"/>
  <c r="B1370" i="37"/>
  <c r="B1371" i="37"/>
  <c r="G1371" i="37" s="1"/>
  <c r="B1372" i="37"/>
  <c r="B1373" i="37"/>
  <c r="G1373" i="37" s="1"/>
  <c r="B1374" i="37"/>
  <c r="B1375" i="37"/>
  <c r="B1376" i="37"/>
  <c r="B1377" i="37"/>
  <c r="B1378" i="37"/>
  <c r="B1379" i="37"/>
  <c r="B1380" i="37"/>
  <c r="B1381" i="37"/>
  <c r="B1382" i="37"/>
  <c r="G1382" i="37" s="1"/>
  <c r="B1383" i="37"/>
  <c r="B1384" i="37"/>
  <c r="B1385" i="37"/>
  <c r="B1386" i="37"/>
  <c r="B1387" i="37"/>
  <c r="B1388" i="37"/>
  <c r="G1388" i="37" s="1"/>
  <c r="B1389" i="37"/>
  <c r="B1390" i="37"/>
  <c r="G1390" i="37" s="1"/>
  <c r="B1391" i="37"/>
  <c r="B1392" i="37"/>
  <c r="B1393" i="37"/>
  <c r="B1394" i="37"/>
  <c r="B1395" i="37"/>
  <c r="G1395" i="37" s="1"/>
  <c r="B1396" i="37"/>
  <c r="B1397" i="37"/>
  <c r="B1398" i="37"/>
  <c r="G1398" i="37" s="1"/>
  <c r="B1399" i="37"/>
  <c r="G1399" i="37" s="1"/>
  <c r="B1400" i="37"/>
  <c r="G1400" i="37" s="1"/>
  <c r="B1401" i="37"/>
  <c r="B1402" i="37"/>
  <c r="B1403" i="37"/>
  <c r="B1404" i="37"/>
  <c r="G1404" i="37" s="1"/>
  <c r="B1405" i="37"/>
  <c r="B1406" i="37"/>
  <c r="G1406" i="37" s="1"/>
  <c r="B1407" i="37"/>
  <c r="G1407" i="37" s="1"/>
  <c r="B1408" i="37"/>
  <c r="B1409" i="37"/>
  <c r="B1410" i="37"/>
  <c r="B1411" i="37"/>
  <c r="B1412" i="37"/>
  <c r="G1412" i="37" s="1"/>
  <c r="B1413" i="37"/>
  <c r="B1414" i="37"/>
  <c r="G1414" i="37"/>
  <c r="B1415" i="37"/>
  <c r="B1416" i="37"/>
  <c r="B1417" i="37"/>
  <c r="B1418" i="37"/>
  <c r="B1419" i="37"/>
  <c r="G1419" i="37" s="1"/>
  <c r="B1420" i="37"/>
  <c r="G1420" i="37" s="1"/>
  <c r="B1421" i="37"/>
  <c r="B1422" i="37"/>
  <c r="G1422" i="37" s="1"/>
  <c r="B1423" i="37"/>
  <c r="G1423" i="37" s="1"/>
  <c r="B1424" i="37"/>
  <c r="B1425" i="37"/>
  <c r="B1426" i="37"/>
  <c r="G1426" i="37" s="1"/>
  <c r="B1427" i="37"/>
  <c r="G1427" i="37"/>
  <c r="B1428" i="37"/>
  <c r="G1428" i="37" s="1"/>
  <c r="B1429" i="37"/>
  <c r="B1430" i="37"/>
  <c r="G1430" i="37" s="1"/>
  <c r="B1431" i="37"/>
  <c r="G1431" i="37" s="1"/>
  <c r="B1432" i="37"/>
  <c r="G1432" i="37" s="1"/>
  <c r="B1433" i="37"/>
  <c r="B1434" i="37"/>
  <c r="G1434" i="37" s="1"/>
  <c r="B1435" i="37"/>
  <c r="B1436" i="37"/>
  <c r="B1437" i="37"/>
  <c r="B1438" i="37"/>
  <c r="B1439" i="37"/>
  <c r="B1446" i="37"/>
  <c r="B1454" i="37"/>
  <c r="B1455" i="37"/>
  <c r="B1462" i="37"/>
  <c r="B1470" i="37"/>
  <c r="B1471" i="37"/>
  <c r="B1476" i="37"/>
  <c r="B1481" i="37"/>
  <c r="B1482" i="37"/>
  <c r="B1483" i="37"/>
  <c r="B1484" i="37"/>
  <c r="B1485" i="37"/>
  <c r="B1486" i="37"/>
  <c r="B1487" i="37"/>
  <c r="B1488" i="37"/>
  <c r="B1489" i="37"/>
  <c r="B1490" i="37"/>
  <c r="B1491" i="37"/>
  <c r="B1492" i="37"/>
  <c r="B1493" i="37"/>
  <c r="B1494" i="37"/>
  <c r="B1495" i="37"/>
  <c r="B1496" i="37"/>
  <c r="G1496" i="37"/>
  <c r="B1497" i="37"/>
  <c r="B1498" i="37"/>
  <c r="G1498" i="37"/>
  <c r="B1499" i="37"/>
  <c r="B1500" i="37"/>
  <c r="B1501" i="37"/>
  <c r="B1502" i="37"/>
  <c r="G1502" i="37"/>
  <c r="B1503" i="37"/>
  <c r="B1504" i="37"/>
  <c r="B1505" i="37"/>
  <c r="B1506" i="37"/>
  <c r="G1506" i="37" s="1"/>
  <c r="B1507" i="37"/>
  <c r="B1508" i="37"/>
  <c r="B1509" i="37"/>
  <c r="B1510" i="37"/>
  <c r="B1511" i="37"/>
  <c r="B1512" i="37"/>
  <c r="B1513" i="37"/>
  <c r="B1514" i="37"/>
  <c r="B1515" i="37"/>
  <c r="B1516" i="37"/>
  <c r="B1517" i="37"/>
  <c r="B1518" i="37"/>
  <c r="B1519" i="37"/>
  <c r="B1520" i="37"/>
  <c r="B1521" i="37"/>
  <c r="B1524" i="37"/>
  <c r="B1526" i="37"/>
  <c r="B1527" i="37"/>
  <c r="B1528" i="37"/>
  <c r="G1528" i="37" s="1"/>
  <c r="B1529" i="37"/>
  <c r="B1530" i="37"/>
  <c r="B1531" i="37"/>
  <c r="G1531" i="37" s="1"/>
  <c r="B1532" i="37"/>
  <c r="B1533" i="37"/>
  <c r="B1534" i="37"/>
  <c r="B1535" i="37"/>
  <c r="B1536" i="37"/>
  <c r="G1536" i="37"/>
  <c r="B1537" i="37"/>
  <c r="B1538" i="37"/>
  <c r="G1538" i="37" s="1"/>
  <c r="B1539" i="37"/>
  <c r="B1540" i="37"/>
  <c r="B1541" i="37"/>
  <c r="B1542" i="37"/>
  <c r="B1543" i="37"/>
  <c r="B1544" i="37"/>
  <c r="B1545" i="37"/>
  <c r="B1546" i="37"/>
  <c r="B1547" i="37"/>
  <c r="B1548" i="37"/>
  <c r="G1548" i="37" s="1"/>
  <c r="B1549" i="37"/>
  <c r="B1550" i="37"/>
  <c r="B1551" i="37"/>
  <c r="B1552" i="37"/>
  <c r="B1553" i="37"/>
  <c r="B1554" i="37"/>
  <c r="B1555" i="37"/>
  <c r="B1556" i="37"/>
  <c r="G1556" i="37" s="1"/>
  <c r="B1557" i="37"/>
  <c r="B1558" i="37"/>
  <c r="B1559" i="37"/>
  <c r="B1560" i="37"/>
  <c r="G1560" i="37"/>
  <c r="B1561" i="37"/>
  <c r="B1562" i="37"/>
  <c r="G1562" i="37" s="1"/>
  <c r="B1563" i="37"/>
  <c r="B1564" i="37"/>
  <c r="G1564" i="37" s="1"/>
  <c r="B1565" i="37"/>
  <c r="B1567" i="37"/>
  <c r="B1568" i="37"/>
  <c r="G1568" i="37" s="1"/>
  <c r="B1569" i="37"/>
  <c r="B1570" i="37"/>
  <c r="B1571" i="37"/>
  <c r="B1572" i="37"/>
  <c r="B1573" i="37"/>
  <c r="B1576" i="37"/>
  <c r="B1577" i="37"/>
  <c r="G1577" i="37" s="1"/>
  <c r="B1578" i="37"/>
  <c r="B1579" i="37"/>
  <c r="B1580" i="37"/>
  <c r="B1583" i="37"/>
  <c r="B1584" i="37"/>
  <c r="B1585" i="37"/>
  <c r="B1587" i="37"/>
  <c r="B1588" i="37"/>
  <c r="G1588" i="37" s="1"/>
  <c r="B1590" i="37"/>
  <c r="B1591" i="37"/>
  <c r="B1592" i="37"/>
  <c r="B1593" i="37"/>
  <c r="B1594" i="37"/>
  <c r="G1594" i="37" s="1"/>
  <c r="B1595" i="37"/>
  <c r="B1596" i="37"/>
  <c r="G1596" i="37" s="1"/>
  <c r="B1597" i="37"/>
  <c r="B1598" i="37"/>
  <c r="G1598" i="37"/>
  <c r="B1599" i="37"/>
  <c r="B1600" i="37"/>
  <c r="B1601" i="37"/>
  <c r="B1602" i="37"/>
  <c r="G1602" i="37" s="1"/>
  <c r="B1603" i="37"/>
  <c r="B1604" i="37"/>
  <c r="B1605" i="37"/>
  <c r="B1606" i="37"/>
  <c r="G1606" i="37" s="1"/>
  <c r="B1607" i="37"/>
  <c r="B1608" i="37"/>
  <c r="B1609" i="37"/>
  <c r="B1610" i="37"/>
  <c r="B1612" i="37"/>
  <c r="B1613" i="37"/>
  <c r="B1614" i="37"/>
  <c r="G1614" i="37"/>
  <c r="B1615" i="37"/>
  <c r="B1616" i="37"/>
  <c r="B1617" i="37"/>
  <c r="B1618" i="37"/>
  <c r="B1619" i="37"/>
  <c r="B1620" i="37"/>
  <c r="B1621" i="37"/>
  <c r="B1622" i="37"/>
  <c r="B1623" i="37"/>
  <c r="B1624" i="37"/>
  <c r="B1625" i="37"/>
  <c r="B1626" i="37"/>
  <c r="B1627" i="37"/>
  <c r="B1628" i="37"/>
  <c r="B1629" i="37"/>
  <c r="B1631" i="37"/>
  <c r="B1632" i="37"/>
  <c r="B1633" i="37"/>
  <c r="B1635" i="37"/>
  <c r="B1636" i="37"/>
  <c r="B1637" i="37"/>
  <c r="B1638" i="37"/>
  <c r="B1639" i="37"/>
  <c r="B1641" i="37"/>
  <c r="G1641" i="37" s="1"/>
  <c r="B1643" i="37"/>
  <c r="G1643" i="37" s="1"/>
  <c r="B1644" i="37"/>
  <c r="B1645" i="37"/>
  <c r="B1646" i="37"/>
  <c r="B1647" i="37"/>
  <c r="B1648" i="37"/>
  <c r="G1648" i="37" s="1"/>
  <c r="B1650" i="37"/>
  <c r="B1651" i="37"/>
  <c r="G1651" i="37" s="1"/>
  <c r="B1652" i="37"/>
  <c r="B1654" i="37"/>
  <c r="B1655" i="37"/>
  <c r="B1656" i="37"/>
  <c r="B1657" i="37"/>
  <c r="B1658" i="37"/>
  <c r="B1659" i="37"/>
  <c r="G1659" i="37"/>
  <c r="B1660" i="37"/>
  <c r="B1661" i="37"/>
  <c r="B1662" i="37"/>
  <c r="B1663" i="37"/>
  <c r="B1664" i="37"/>
  <c r="B1665" i="37"/>
  <c r="B1666" i="37"/>
  <c r="G1666" i="37"/>
  <c r="B1667" i="37"/>
  <c r="G1667" i="37"/>
  <c r="B1668" i="37"/>
  <c r="G1668" i="37"/>
  <c r="B1669" i="37"/>
  <c r="B1670" i="37"/>
  <c r="B1671" i="37"/>
  <c r="B1672" i="37"/>
  <c r="B1673" i="37"/>
  <c r="G1673" i="37" s="1"/>
  <c r="B1674" i="37"/>
  <c r="G1674" i="37" s="1"/>
  <c r="B1675" i="37"/>
  <c r="B1677" i="37"/>
  <c r="B1678" i="37"/>
  <c r="B1679" i="37"/>
  <c r="B1680" i="37"/>
  <c r="B1681" i="37"/>
  <c r="G1681" i="37" s="1"/>
  <c r="B1682" i="37"/>
  <c r="B1683" i="37"/>
  <c r="B1684" i="37"/>
  <c r="G1684" i="37" s="1"/>
  <c r="B1685" i="37"/>
  <c r="B1686" i="37"/>
  <c r="B1687" i="37"/>
  <c r="B1688" i="37"/>
  <c r="B1689" i="37"/>
  <c r="G1689" i="37"/>
  <c r="B1690" i="37"/>
  <c r="B1691" i="37"/>
  <c r="B1692" i="37"/>
  <c r="G1692" i="37"/>
  <c r="B1693" i="37"/>
  <c r="B1694" i="37"/>
  <c r="B1695" i="37"/>
  <c r="B1696" i="37"/>
  <c r="B1697" i="37"/>
  <c r="B1698" i="37"/>
  <c r="B1699" i="37"/>
  <c r="B1700" i="37"/>
  <c r="B1701" i="37"/>
  <c r="B1702" i="37"/>
  <c r="B1703" i="37"/>
  <c r="B1704" i="37"/>
  <c r="B1705" i="37"/>
  <c r="G1705" i="37" s="1"/>
  <c r="B1706" i="37"/>
  <c r="B1707" i="37"/>
  <c r="B1708" i="37"/>
  <c r="G1708" i="37" s="1"/>
  <c r="B1710" i="37"/>
  <c r="B1712" i="37"/>
  <c r="G1712" i="37"/>
  <c r="B1713" i="37"/>
  <c r="B1714" i="37"/>
  <c r="G1714" i="37" s="1"/>
  <c r="B1715" i="37"/>
  <c r="G1715" i="37"/>
  <c r="B1716" i="37"/>
  <c r="B1717" i="37"/>
  <c r="G1717" i="37"/>
  <c r="B1718" i="37"/>
  <c r="G1718" i="37" s="1"/>
  <c r="B1719" i="37"/>
  <c r="G1719" i="37"/>
  <c r="B1720" i="37"/>
  <c r="B1721" i="37"/>
  <c r="G1721" i="37"/>
  <c r="B1722" i="37"/>
  <c r="B1723" i="37"/>
  <c r="B1724" i="37"/>
  <c r="G1724" i="37"/>
  <c r="B1725" i="37"/>
  <c r="B1726" i="37"/>
  <c r="B1727" i="37"/>
  <c r="G1727" i="37"/>
  <c r="B1728" i="37"/>
  <c r="B1730" i="37"/>
  <c r="B1731" i="37"/>
  <c r="G1731" i="37" s="1"/>
  <c r="B1732" i="37"/>
  <c r="G1732" i="37"/>
  <c r="B1733" i="37"/>
  <c r="G1733" i="37" s="1"/>
  <c r="B1734" i="37"/>
  <c r="B1736" i="37"/>
  <c r="G1736" i="37" s="1"/>
  <c r="B1737" i="37"/>
  <c r="B1738" i="37"/>
  <c r="G1738" i="37" s="1"/>
  <c r="B1739" i="37"/>
  <c r="B1740" i="37"/>
  <c r="G1740" i="37"/>
  <c r="B1741" i="37"/>
  <c r="G1741" i="37" s="1"/>
  <c r="B1742" i="37"/>
  <c r="B1743" i="37"/>
  <c r="B1744" i="37"/>
  <c r="B1746" i="37"/>
  <c r="G1746" i="37"/>
  <c r="B1747" i="37"/>
  <c r="B1748" i="37"/>
  <c r="B1749" i="37"/>
  <c r="B1750" i="37"/>
  <c r="B1751" i="37"/>
  <c r="B1752" i="37"/>
  <c r="B1753" i="37"/>
  <c r="B1754" i="37"/>
  <c r="B1755" i="37"/>
  <c r="B1756" i="37"/>
  <c r="B1757" i="37"/>
  <c r="B1758" i="37"/>
  <c r="B1759" i="37"/>
  <c r="B1760" i="37"/>
  <c r="G1760" i="37" s="1"/>
  <c r="B1761" i="37"/>
  <c r="G1761" i="37" s="1"/>
  <c r="B1762" i="37"/>
  <c r="G1762" i="37" s="1"/>
  <c r="B1763" i="37"/>
  <c r="B1764" i="37"/>
  <c r="G1764" i="37" s="1"/>
  <c r="B1765" i="37"/>
  <c r="B1766" i="37"/>
  <c r="G1766" i="37" s="1"/>
  <c r="B1767" i="37"/>
  <c r="B1768" i="37"/>
  <c r="B1769" i="37"/>
  <c r="G1769" i="37" s="1"/>
  <c r="B1770" i="37"/>
  <c r="B1771" i="37"/>
  <c r="B1772" i="37"/>
  <c r="B1773" i="37"/>
  <c r="G1773" i="37" s="1"/>
  <c r="B1774" i="37"/>
  <c r="B1775" i="37"/>
  <c r="G1775" i="37" s="1"/>
  <c r="B1776" i="37"/>
  <c r="B1777" i="37"/>
  <c r="B1778" i="37"/>
  <c r="G1778" i="37" s="1"/>
  <c r="B1779" i="37"/>
  <c r="B1780" i="37"/>
  <c r="B1781" i="37"/>
  <c r="B1782" i="37"/>
  <c r="B1783" i="37"/>
  <c r="B1784" i="37"/>
  <c r="B1785" i="37"/>
  <c r="B1786" i="37"/>
  <c r="G1786" i="37" s="1"/>
  <c r="B1787" i="37"/>
  <c r="G1787" i="37" s="1"/>
  <c r="B1788" i="37"/>
  <c r="B1789" i="37"/>
  <c r="B1790" i="37"/>
  <c r="G1790" i="37" s="1"/>
  <c r="B1791" i="37"/>
  <c r="B1792" i="37"/>
  <c r="B1793" i="37"/>
  <c r="B1794" i="37"/>
  <c r="B1795" i="37"/>
  <c r="B1796" i="37"/>
  <c r="G1796" i="37" s="1"/>
  <c r="B1797" i="37"/>
  <c r="B1798" i="37"/>
  <c r="B1799" i="37"/>
  <c r="B1800" i="37"/>
  <c r="B1801" i="37"/>
  <c r="B1802" i="37"/>
  <c r="B1803" i="37"/>
  <c r="G1803" i="37" s="1"/>
  <c r="B1804" i="37"/>
  <c r="B1805" i="37"/>
  <c r="B1806" i="37"/>
  <c r="B1807" i="37"/>
  <c r="G1807" i="37" s="1"/>
  <c r="B1808" i="37"/>
  <c r="G1808" i="37" s="1"/>
  <c r="B1809" i="37"/>
  <c r="B1810" i="37"/>
  <c r="B1811" i="37"/>
  <c r="G1811" i="37" s="1"/>
  <c r="B1812" i="37"/>
  <c r="G1812" i="37" s="1"/>
  <c r="B1813" i="37"/>
  <c r="B1814" i="37"/>
  <c r="B1815" i="37"/>
  <c r="B1816" i="37"/>
  <c r="B1817" i="37"/>
  <c r="G1817" i="37" s="1"/>
  <c r="B1818" i="37"/>
  <c r="B1819" i="37"/>
  <c r="B1820" i="37"/>
  <c r="B1821" i="37"/>
  <c r="B1822" i="37"/>
  <c r="G1822" i="37" s="1"/>
  <c r="B1823" i="37"/>
  <c r="B1824" i="37"/>
  <c r="B1825" i="37"/>
  <c r="B1826" i="37"/>
  <c r="B1827" i="37"/>
  <c r="G1827" i="37" s="1"/>
  <c r="B1828" i="37"/>
  <c r="G1828" i="37" s="1"/>
  <c r="B1829" i="37"/>
  <c r="B1830" i="37"/>
  <c r="B1831" i="37"/>
  <c r="B1832" i="37"/>
  <c r="B1833" i="37"/>
  <c r="B1834" i="37"/>
  <c r="B1835" i="37"/>
  <c r="B1836" i="37"/>
  <c r="B1837" i="37"/>
  <c r="G1837" i="37" s="1"/>
  <c r="B1838" i="37"/>
  <c r="B1839" i="37"/>
  <c r="B1840" i="37"/>
  <c r="B1841" i="37"/>
  <c r="G1841" i="37" s="1"/>
  <c r="B1842" i="37"/>
  <c r="G1842" i="37" s="1"/>
  <c r="B1843" i="37"/>
  <c r="B1844" i="37"/>
  <c r="B1845" i="37"/>
  <c r="B1846" i="37"/>
  <c r="G1846" i="37" s="1"/>
  <c r="B1847" i="37"/>
  <c r="B1848" i="37"/>
  <c r="B1849" i="37"/>
  <c r="B1850" i="37"/>
  <c r="B1851" i="37"/>
  <c r="G1851" i="37"/>
  <c r="B1852" i="37"/>
  <c r="G1852" i="37"/>
  <c r="B1853" i="37"/>
  <c r="G1853" i="37"/>
  <c r="B1854" i="37"/>
  <c r="G1854" i="37"/>
  <c r="B1855" i="37"/>
  <c r="G1855" i="37"/>
  <c r="B1856" i="37"/>
  <c r="G1856" i="37"/>
  <c r="B1857" i="37"/>
  <c r="B1858" i="37"/>
  <c r="G1858" i="37" s="1"/>
  <c r="B1859" i="37"/>
  <c r="G1859" i="37" s="1"/>
  <c r="B1860" i="37"/>
  <c r="G1860" i="37"/>
  <c r="B1861" i="37"/>
  <c r="G1861" i="37" s="1"/>
  <c r="B1862" i="37"/>
  <c r="G1862" i="37" s="1"/>
  <c r="B1863" i="37"/>
  <c r="G1863" i="37" s="1"/>
  <c r="B1864" i="37"/>
  <c r="G1864" i="37"/>
  <c r="B1865" i="37"/>
  <c r="B1866" i="37"/>
  <c r="G1866" i="37"/>
  <c r="B1867" i="37"/>
  <c r="B1868" i="37"/>
  <c r="B1869" i="37"/>
  <c r="B1870" i="37"/>
  <c r="B1871" i="37"/>
  <c r="G1871" i="37" s="1"/>
  <c r="B1872" i="37"/>
  <c r="G1872" i="37"/>
  <c r="B1873" i="37"/>
  <c r="G1873" i="37" s="1"/>
  <c r="B1874" i="37"/>
  <c r="G1874" i="37"/>
  <c r="B1875" i="37"/>
  <c r="G1875" i="37" s="1"/>
  <c r="B1876" i="37"/>
  <c r="B1877" i="37"/>
  <c r="B1878" i="37"/>
  <c r="G1878" i="37" s="1"/>
  <c r="B1879" i="37"/>
  <c r="G1879" i="37"/>
  <c r="B1880" i="37"/>
  <c r="G1880" i="37" s="1"/>
  <c r="B1881" i="37"/>
  <c r="G1881" i="37"/>
  <c r="B1882" i="37"/>
  <c r="G1882" i="37" s="1"/>
  <c r="B1883" i="37"/>
  <c r="G1883" i="37"/>
  <c r="B1884" i="37"/>
  <c r="G1884" i="37" s="1"/>
  <c r="B1885" i="37"/>
  <c r="G1885" i="37"/>
  <c r="B1886" i="37"/>
  <c r="G1886" i="37" s="1"/>
  <c r="B1887" i="37"/>
  <c r="B1888" i="37"/>
  <c r="G1888" i="37" s="1"/>
  <c r="B1889" i="37"/>
  <c r="G1889" i="37"/>
  <c r="B1890" i="37"/>
  <c r="B1891" i="37"/>
  <c r="G1891" i="37" s="1"/>
  <c r="B1892" i="37"/>
  <c r="G1892" i="37" s="1"/>
  <c r="B1893" i="37"/>
  <c r="G1893" i="37" s="1"/>
  <c r="B1894" i="37"/>
  <c r="B1895" i="37"/>
  <c r="G1895" i="37" s="1"/>
  <c r="B1896" i="37"/>
  <c r="G1896" i="37"/>
  <c r="B1897" i="37"/>
  <c r="G1897" i="37" s="1"/>
  <c r="B1898" i="37"/>
  <c r="B1899" i="37"/>
  <c r="G1899" i="37"/>
  <c r="B1900" i="37"/>
  <c r="B1901" i="37"/>
  <c r="G1901" i="37"/>
  <c r="B1902" i="37"/>
  <c r="B1903" i="37"/>
  <c r="G1903" i="37" s="1"/>
  <c r="B1904" i="37"/>
  <c r="G1904" i="37" s="1"/>
  <c r="B1905" i="37"/>
  <c r="G1905" i="37" s="1"/>
  <c r="B1906" i="37"/>
  <c r="B1907" i="37"/>
  <c r="G1907" i="37" s="1"/>
  <c r="B1908" i="37"/>
  <c r="B1909" i="37"/>
  <c r="G1909" i="37"/>
  <c r="B1910" i="37"/>
  <c r="B1911" i="37"/>
  <c r="G1911" i="37"/>
  <c r="B1912" i="37"/>
  <c r="B1913" i="37"/>
  <c r="G1913" i="37" s="1"/>
  <c r="B1914" i="37"/>
  <c r="G1914" i="37" s="1"/>
  <c r="B1915" i="37"/>
  <c r="G1915" i="37" s="1"/>
  <c r="B1916" i="37"/>
  <c r="B1917" i="37"/>
  <c r="G1917" i="37" s="1"/>
  <c r="B1918" i="37"/>
  <c r="B1919" i="37"/>
  <c r="G1919" i="37"/>
  <c r="B1920" i="37"/>
  <c r="G1920" i="37" s="1"/>
  <c r="B1921" i="37"/>
  <c r="G1921" i="37" s="1"/>
  <c r="B1922" i="37"/>
  <c r="B1924" i="37"/>
  <c r="G1924" i="37"/>
  <c r="B1926" i="37"/>
  <c r="G1926" i="37"/>
  <c r="B1928" i="37"/>
  <c r="G1928" i="37"/>
  <c r="B1929" i="37"/>
  <c r="B1930" i="37"/>
  <c r="G1930" i="37"/>
  <c r="B1931" i="37"/>
  <c r="G1931" i="37"/>
  <c r="B1932" i="37"/>
  <c r="G1932" i="37"/>
  <c r="B1933" i="37"/>
  <c r="G1933" i="37"/>
  <c r="B1934" i="37"/>
  <c r="G1934" i="37"/>
  <c r="B1935" i="37"/>
  <c r="G1935" i="37"/>
  <c r="B1936" i="37"/>
  <c r="G1936" i="37"/>
  <c r="B1937" i="37"/>
  <c r="G1937" i="37"/>
  <c r="B1938" i="37"/>
  <c r="G1938" i="37"/>
  <c r="B1939" i="37"/>
  <c r="B1940" i="37"/>
  <c r="B1941" i="37"/>
  <c r="G1941" i="37"/>
  <c r="B1942" i="37"/>
  <c r="B1943" i="37"/>
  <c r="G1943" i="37" s="1"/>
  <c r="B1944" i="37"/>
  <c r="G1944" i="37"/>
  <c r="B1945" i="37"/>
  <c r="G1945" i="37" s="1"/>
  <c r="B1946" i="37"/>
  <c r="G1946" i="37" s="1"/>
  <c r="B1947" i="37"/>
  <c r="G1947" i="37" s="1"/>
  <c r="B1948" i="37"/>
  <c r="G1948" i="37"/>
  <c r="B1949" i="37"/>
  <c r="G1949" i="37" s="1"/>
  <c r="B1950" i="37"/>
  <c r="G1950" i="37" s="1"/>
  <c r="B1951" i="37"/>
  <c r="G1951" i="37" s="1"/>
  <c r="B1952" i="37"/>
  <c r="G1952" i="37"/>
  <c r="B1953" i="37"/>
  <c r="B1954" i="37"/>
  <c r="G1954" i="37" s="1"/>
  <c r="B1955" i="37"/>
  <c r="G1955" i="37" s="1"/>
  <c r="B1956" i="37"/>
  <c r="G1956" i="37"/>
  <c r="B1957" i="37"/>
  <c r="G1957" i="37" s="1"/>
  <c r="B1958" i="37"/>
  <c r="G1958" i="37" s="1"/>
  <c r="B1959" i="37"/>
  <c r="B1960" i="37"/>
  <c r="G1960" i="37"/>
  <c r="B1961" i="37"/>
  <c r="B1962" i="37"/>
  <c r="B1963" i="37"/>
  <c r="G1963" i="37" s="1"/>
  <c r="B1964" i="37"/>
  <c r="G1964" i="37"/>
  <c r="B1965" i="37"/>
  <c r="G1965" i="37" s="1"/>
  <c r="B1966" i="37"/>
  <c r="B1967" i="37"/>
  <c r="B1968" i="37"/>
  <c r="G1968" i="37" s="1"/>
  <c r="B1969" i="37"/>
  <c r="B1970" i="37"/>
  <c r="G1970" i="37" s="1"/>
  <c r="B1971" i="37"/>
  <c r="G1971" i="37"/>
  <c r="B1972" i="37"/>
  <c r="G1972" i="37" s="1"/>
  <c r="B1973" i="37"/>
  <c r="B1974" i="37"/>
  <c r="G1974" i="37" s="1"/>
  <c r="B1975" i="37"/>
  <c r="F317" i="3"/>
  <c r="E317" i="3" s="1"/>
  <c r="B317" i="3" s="1"/>
  <c r="G317" i="3"/>
  <c r="F318" i="3"/>
  <c r="G318" i="3"/>
  <c r="D15" i="30"/>
  <c r="C1759" i="37" s="1"/>
  <c r="H1759" i="37" s="1"/>
  <c r="E624" i="1"/>
  <c r="D611" i="37" s="1"/>
  <c r="D624" i="1"/>
  <c r="C611" i="37" s="1"/>
  <c r="E23" i="1"/>
  <c r="D13" i="37" s="1"/>
  <c r="D23" i="1"/>
  <c r="F23" i="1" s="1"/>
  <c r="L13" i="37"/>
  <c r="A1756" i="37"/>
  <c r="A1832" i="37" s="1"/>
  <c r="C18" i="42"/>
  <c r="B7" i="27" s="1"/>
  <c r="B6" i="50"/>
  <c r="B5" i="50"/>
  <c r="B4" i="50"/>
  <c r="B6" i="30"/>
  <c r="B5" i="30"/>
  <c r="B4" i="30"/>
  <c r="B6" i="27"/>
  <c r="B5" i="27"/>
  <c r="B4" i="27"/>
  <c r="B6" i="33"/>
  <c r="B5" i="33"/>
  <c r="B4" i="33"/>
  <c r="B6" i="36"/>
  <c r="B5" i="36"/>
  <c r="B4" i="36"/>
  <c r="B6" i="39"/>
  <c r="B5" i="39"/>
  <c r="B4" i="39"/>
  <c r="B6" i="1"/>
  <c r="B4" i="1"/>
  <c r="B311" i="3"/>
  <c r="B306" i="3"/>
  <c r="B307" i="3"/>
  <c r="B312" i="3"/>
  <c r="C2" i="30"/>
  <c r="E584" i="1"/>
  <c r="D572" i="37" s="1"/>
  <c r="D584" i="1"/>
  <c r="C572" i="37" s="1"/>
  <c r="E159" i="27"/>
  <c r="D1628" i="37" s="1"/>
  <c r="D127" i="50"/>
  <c r="C1961" i="37"/>
  <c r="D411" i="39"/>
  <c r="C1299" i="37" s="1"/>
  <c r="H1299" i="37" s="1"/>
  <c r="D374" i="39"/>
  <c r="C1262" i="37" s="1"/>
  <c r="H1262" i="37" s="1"/>
  <c r="D280" i="39"/>
  <c r="C1168" i="37" s="1"/>
  <c r="D339" i="39"/>
  <c r="C1227" i="37" s="1"/>
  <c r="H1227" i="37" s="1"/>
  <c r="D23" i="39"/>
  <c r="C912" i="37" s="1"/>
  <c r="D28" i="39"/>
  <c r="C917" i="37" s="1"/>
  <c r="D30" i="39"/>
  <c r="C919" i="37" s="1"/>
  <c r="D40" i="39"/>
  <c r="C929" i="37" s="1"/>
  <c r="D48" i="39"/>
  <c r="C937" i="37" s="1"/>
  <c r="G937" i="37" s="1"/>
  <c r="D58" i="39"/>
  <c r="C947" i="37" s="1"/>
  <c r="G947" i="37" s="1"/>
  <c r="D60" i="39"/>
  <c r="C949" i="37" s="1"/>
  <c r="D68" i="39"/>
  <c r="C957" i="37" s="1"/>
  <c r="D73" i="39"/>
  <c r="D81" i="39"/>
  <c r="C970" i="37" s="1"/>
  <c r="H970" i="37" s="1"/>
  <c r="D87" i="39"/>
  <c r="C976" i="37" s="1"/>
  <c r="H976" i="37" s="1"/>
  <c r="D90" i="39"/>
  <c r="D95" i="39"/>
  <c r="C984" i="37" s="1"/>
  <c r="H984" i="37" s="1"/>
  <c r="D98" i="39"/>
  <c r="C987" i="37" s="1"/>
  <c r="H987" i="37" s="1"/>
  <c r="D101" i="39"/>
  <c r="C990" i="37" s="1"/>
  <c r="H990" i="37" s="1"/>
  <c r="D107" i="39"/>
  <c r="C996" i="37" s="1"/>
  <c r="H996" i="37" s="1"/>
  <c r="D110" i="39"/>
  <c r="C999" i="37" s="1"/>
  <c r="G999" i="37" s="1"/>
  <c r="D114" i="39"/>
  <c r="C1003" i="37" s="1"/>
  <c r="G1003" i="37" s="1"/>
  <c r="D117" i="39"/>
  <c r="C1006" i="37" s="1"/>
  <c r="D120" i="39"/>
  <c r="C1009" i="37" s="1"/>
  <c r="D125" i="39"/>
  <c r="C1014" i="37" s="1"/>
  <c r="G1014" i="37" s="1"/>
  <c r="D12" i="39"/>
  <c r="C901" i="37" s="1"/>
  <c r="H901" i="37" s="1"/>
  <c r="D131" i="39"/>
  <c r="C1020" i="37" s="1"/>
  <c r="D138" i="39"/>
  <c r="D142" i="39"/>
  <c r="C1031" i="37" s="1"/>
  <c r="D149" i="39"/>
  <c r="C1038" i="37" s="1"/>
  <c r="H1038" i="37" s="1"/>
  <c r="D152" i="39"/>
  <c r="C1041" i="37" s="1"/>
  <c r="H1041" i="37" s="1"/>
  <c r="D157" i="39"/>
  <c r="C1046" i="37" s="1"/>
  <c r="H1046" i="37" s="1"/>
  <c r="D165" i="39"/>
  <c r="C1054" i="37" s="1"/>
  <c r="H1054" i="37" s="1"/>
  <c r="D170" i="39"/>
  <c r="C1059" i="37" s="1"/>
  <c r="D175" i="39"/>
  <c r="C1064" i="37" s="1"/>
  <c r="H1064" i="37" s="1"/>
  <c r="D178" i="39"/>
  <c r="C1067" i="37" s="1"/>
  <c r="D183" i="39"/>
  <c r="C1072" i="37" s="1"/>
  <c r="D186" i="39"/>
  <c r="D189" i="39"/>
  <c r="C1078" i="37" s="1"/>
  <c r="H1078" i="37" s="1"/>
  <c r="D192" i="39"/>
  <c r="D191" i="39" s="1"/>
  <c r="C1080" i="37" s="1"/>
  <c r="D195" i="39"/>
  <c r="C1084" i="37" s="1"/>
  <c r="D197" i="39"/>
  <c r="C1086" i="37" s="1"/>
  <c r="H1086" i="37" s="1"/>
  <c r="D199" i="39"/>
  <c r="C1088" i="37" s="1"/>
  <c r="D201" i="39"/>
  <c r="C1090" i="37" s="1"/>
  <c r="D203" i="39"/>
  <c r="C1092" i="37" s="1"/>
  <c r="H1092" i="37" s="1"/>
  <c r="D207" i="39"/>
  <c r="C1096" i="37" s="1"/>
  <c r="H1096" i="37" s="1"/>
  <c r="D213" i="39"/>
  <c r="C1102" i="37" s="1"/>
  <c r="H1102" i="37" s="1"/>
  <c r="D219" i="39"/>
  <c r="D228" i="39"/>
  <c r="C1117" i="37" s="1"/>
  <c r="G1117" i="37" s="1"/>
  <c r="I64" i="42"/>
  <c r="B64" i="42"/>
  <c r="I63" i="42"/>
  <c r="B63" i="42"/>
  <c r="I62" i="42"/>
  <c r="B62" i="42"/>
  <c r="I68" i="42"/>
  <c r="B68" i="42"/>
  <c r="I67" i="42"/>
  <c r="B67" i="42"/>
  <c r="I66" i="42"/>
  <c r="B66" i="42"/>
  <c r="I49" i="42"/>
  <c r="B49" i="42"/>
  <c r="I48" i="42"/>
  <c r="B48" i="42"/>
  <c r="I47" i="42"/>
  <c r="B47" i="42"/>
  <c r="I46" i="42"/>
  <c r="B46" i="42"/>
  <c r="I45" i="42"/>
  <c r="B45" i="42"/>
  <c r="I44" i="42"/>
  <c r="B44" i="42"/>
  <c r="I43" i="42"/>
  <c r="B43" i="42"/>
  <c r="I42" i="42"/>
  <c r="B42" i="42"/>
  <c r="I41" i="42"/>
  <c r="B41" i="42"/>
  <c r="B40" i="42"/>
  <c r="I40" i="42"/>
  <c r="D95" i="30"/>
  <c r="C1839" i="37" s="1"/>
  <c r="H1839" i="37" s="1"/>
  <c r="D101" i="30"/>
  <c r="C1845" i="37" s="1"/>
  <c r="D90" i="30"/>
  <c r="C1834" i="37" s="1"/>
  <c r="H1834" i="37" s="1"/>
  <c r="D85" i="30"/>
  <c r="C1829" i="37" s="1"/>
  <c r="D80" i="30"/>
  <c r="C1824" i="37" s="1"/>
  <c r="G1824" i="37" s="1"/>
  <c r="D75" i="30"/>
  <c r="C1819" i="37" s="1"/>
  <c r="D70" i="30"/>
  <c r="C1814" i="37" s="1"/>
  <c r="H1814" i="37" s="1"/>
  <c r="D65" i="30"/>
  <c r="C1809" i="37" s="1"/>
  <c r="H1809" i="37" s="1"/>
  <c r="D60" i="30"/>
  <c r="C1804" i="37" s="1"/>
  <c r="H1804" i="37" s="1"/>
  <c r="D55" i="30"/>
  <c r="C1799" i="37" s="1"/>
  <c r="G1799" i="37" s="1"/>
  <c r="D49" i="30"/>
  <c r="C1793" i="37" s="1"/>
  <c r="H1793" i="37" s="1"/>
  <c r="D41" i="30"/>
  <c r="D32" i="30"/>
  <c r="C1776" i="37" s="1"/>
  <c r="G1776" i="37" s="1"/>
  <c r="D24" i="30"/>
  <c r="C1768" i="37" s="1"/>
  <c r="H1768" i="37" s="1"/>
  <c r="E103" i="27"/>
  <c r="D1572" i="37" s="1"/>
  <c r="D103" i="27"/>
  <c r="C1572" i="37" s="1"/>
  <c r="E365" i="1"/>
  <c r="D365" i="1"/>
  <c r="D902" i="1"/>
  <c r="C886" i="37" s="1"/>
  <c r="G886" i="37" s="1"/>
  <c r="D881" i="1"/>
  <c r="C865" i="37" s="1"/>
  <c r="H865" i="37" s="1"/>
  <c r="E362" i="1"/>
  <c r="D351" i="37" s="1"/>
  <c r="D362" i="1"/>
  <c r="F362" i="1" s="1"/>
  <c r="A107" i="30"/>
  <c r="E288" i="27"/>
  <c r="E289" i="27" s="1"/>
  <c r="D1755" i="37" s="1"/>
  <c r="D1754" i="37"/>
  <c r="D288" i="27"/>
  <c r="E281" i="27"/>
  <c r="D281" i="27"/>
  <c r="C1748" i="37" s="1"/>
  <c r="E274" i="27"/>
  <c r="D1742" i="37" s="1"/>
  <c r="D274" i="27"/>
  <c r="C1742" i="37" s="1"/>
  <c r="E237" i="27"/>
  <c r="D1706" i="37" s="1"/>
  <c r="D237" i="27"/>
  <c r="C1706" i="37" s="1"/>
  <c r="H1706" i="37" s="1"/>
  <c r="E229" i="27"/>
  <c r="D1698" i="37" s="1"/>
  <c r="D229" i="27"/>
  <c r="C1698" i="37" s="1"/>
  <c r="E225" i="27"/>
  <c r="D1694" i="37" s="1"/>
  <c r="D225" i="27"/>
  <c r="C1694" i="37" s="1"/>
  <c r="E221" i="27"/>
  <c r="D1690" i="37" s="1"/>
  <c r="D221" i="27"/>
  <c r="F221" i="27" s="1"/>
  <c r="C1690" i="37"/>
  <c r="E218" i="27"/>
  <c r="D218" i="27"/>
  <c r="E213" i="27"/>
  <c r="D1682" i="37"/>
  <c r="D213" i="27"/>
  <c r="E203" i="27"/>
  <c r="D1672" i="37" s="1"/>
  <c r="D203" i="27"/>
  <c r="C1672" i="37" s="1"/>
  <c r="E186" i="27"/>
  <c r="D1655" i="37" s="1"/>
  <c r="D186" i="27"/>
  <c r="E177" i="27"/>
  <c r="D1646" i="37" s="1"/>
  <c r="D177" i="27"/>
  <c r="D169" i="27" s="1"/>
  <c r="F169" i="27" s="1"/>
  <c r="E170" i="27"/>
  <c r="D1639" i="37" s="1"/>
  <c r="D170" i="27"/>
  <c r="C1639" i="37" s="1"/>
  <c r="D159" i="27"/>
  <c r="C1628" i="37" s="1"/>
  <c r="E154" i="27"/>
  <c r="D1623" i="37" s="1"/>
  <c r="D154" i="27"/>
  <c r="C1623" i="37" s="1"/>
  <c r="E143" i="27"/>
  <c r="D1612" i="37" s="1"/>
  <c r="D143" i="27"/>
  <c r="E139" i="27"/>
  <c r="D1608" i="37" s="1"/>
  <c r="D139" i="27"/>
  <c r="F139" i="27" s="1"/>
  <c r="E132" i="27"/>
  <c r="D1601" i="37" s="1"/>
  <c r="D132" i="27"/>
  <c r="C1601" i="37" s="1"/>
  <c r="D123" i="27"/>
  <c r="C1592" i="37" s="1"/>
  <c r="E123" i="27"/>
  <c r="D1592" i="37" s="1"/>
  <c r="E116" i="27"/>
  <c r="D116" i="27"/>
  <c r="F116" i="27" s="1"/>
  <c r="E85" i="27"/>
  <c r="D85" i="27"/>
  <c r="C1554" i="37" s="1"/>
  <c r="E78" i="27"/>
  <c r="D1547" i="37" s="1"/>
  <c r="D78" i="27"/>
  <c r="C1547" i="37" s="1"/>
  <c r="E73" i="27"/>
  <c r="G25" i="3" s="1"/>
  <c r="D73" i="27"/>
  <c r="C1542" i="37" s="1"/>
  <c r="E68" i="27"/>
  <c r="D1537" i="37" s="1"/>
  <c r="D68" i="27"/>
  <c r="C1537" i="37" s="1"/>
  <c r="E61" i="27"/>
  <c r="D1530" i="37" s="1"/>
  <c r="D61" i="27"/>
  <c r="C1530" i="37" s="1"/>
  <c r="E57" i="27"/>
  <c r="D1526" i="37" s="1"/>
  <c r="D57" i="27"/>
  <c r="E50" i="27"/>
  <c r="D50" i="27"/>
  <c r="C1519" i="37" s="1"/>
  <c r="E46" i="27"/>
  <c r="D1515" i="37" s="1"/>
  <c r="D46" i="27"/>
  <c r="C1515" i="37" s="1"/>
  <c r="E40" i="27"/>
  <c r="D1509" i="37" s="1"/>
  <c r="D40" i="27"/>
  <c r="C1509" i="37" s="1"/>
  <c r="E34" i="27"/>
  <c r="D1503" i="37" s="1"/>
  <c r="D34" i="27"/>
  <c r="F34" i="27" s="1"/>
  <c r="E25" i="27"/>
  <c r="D1494" i="37" s="1"/>
  <c r="D25" i="27"/>
  <c r="C1494" i="37" s="1"/>
  <c r="E19" i="27"/>
  <c r="D1488" i="37" s="1"/>
  <c r="D19" i="27"/>
  <c r="E14" i="27"/>
  <c r="D1483" i="37" s="1"/>
  <c r="D14" i="27"/>
  <c r="D106" i="50"/>
  <c r="C1940" i="37" s="1"/>
  <c r="H1940" i="37" s="1"/>
  <c r="D53" i="50"/>
  <c r="J68" i="42" s="1"/>
  <c r="D102" i="50"/>
  <c r="C1939" i="37" s="1"/>
  <c r="E53" i="50"/>
  <c r="F101" i="50"/>
  <c r="F100" i="50"/>
  <c r="F99" i="50"/>
  <c r="F98" i="50"/>
  <c r="F97" i="50"/>
  <c r="F96" i="50"/>
  <c r="F95" i="50"/>
  <c r="F94" i="50"/>
  <c r="F93" i="50"/>
  <c r="F92" i="50"/>
  <c r="F91" i="50"/>
  <c r="F90" i="50"/>
  <c r="F89" i="50"/>
  <c r="F88" i="50"/>
  <c r="F87" i="50"/>
  <c r="F86" i="50"/>
  <c r="F85" i="50"/>
  <c r="F84" i="50"/>
  <c r="F83" i="50"/>
  <c r="F82" i="50"/>
  <c r="F81" i="50"/>
  <c r="F80" i="50"/>
  <c r="F79" i="50"/>
  <c r="F78" i="50"/>
  <c r="F77" i="50"/>
  <c r="F76" i="50"/>
  <c r="F75" i="50"/>
  <c r="F74" i="50"/>
  <c r="F73" i="50"/>
  <c r="F72" i="50"/>
  <c r="F71" i="50"/>
  <c r="F70" i="50"/>
  <c r="F69" i="50"/>
  <c r="F68" i="50"/>
  <c r="F67" i="50"/>
  <c r="F66" i="50"/>
  <c r="F65" i="50"/>
  <c r="F64" i="50"/>
  <c r="F63" i="50"/>
  <c r="F62" i="50"/>
  <c r="F61" i="50"/>
  <c r="F60" i="50"/>
  <c r="F59" i="50"/>
  <c r="F58" i="50"/>
  <c r="F57" i="50"/>
  <c r="F56" i="50"/>
  <c r="F55" i="50"/>
  <c r="F54" i="50"/>
  <c r="F53" i="50"/>
  <c r="F52" i="50"/>
  <c r="F51" i="50"/>
  <c r="F50" i="50"/>
  <c r="F49" i="50"/>
  <c r="F48" i="50"/>
  <c r="F47" i="50"/>
  <c r="F46" i="50"/>
  <c r="F45" i="50"/>
  <c r="F44" i="50"/>
  <c r="F43" i="50"/>
  <c r="F42" i="50"/>
  <c r="F41" i="50"/>
  <c r="D19" i="50"/>
  <c r="D29" i="50"/>
  <c r="C1867" i="37"/>
  <c r="H1867" i="37" s="1"/>
  <c r="D30" i="50"/>
  <c r="C1868" i="37"/>
  <c r="G1868" i="37" s="1"/>
  <c r="D32" i="50"/>
  <c r="C1870" i="37" s="1"/>
  <c r="E19" i="50"/>
  <c r="E29" i="50"/>
  <c r="D1867" i="37" s="1"/>
  <c r="E30" i="50"/>
  <c r="D1868" i="37"/>
  <c r="E32" i="50"/>
  <c r="D1870" i="37" s="1"/>
  <c r="D12" i="50"/>
  <c r="D38" i="50" s="1"/>
  <c r="E12" i="50"/>
  <c r="F37" i="50"/>
  <c r="F36" i="50"/>
  <c r="F35" i="50"/>
  <c r="F34" i="50"/>
  <c r="F33" i="50"/>
  <c r="F32" i="50"/>
  <c r="F31" i="50"/>
  <c r="F30" i="50"/>
  <c r="F28" i="50"/>
  <c r="F27" i="50"/>
  <c r="F26" i="50"/>
  <c r="F25" i="50"/>
  <c r="F24" i="50"/>
  <c r="F23" i="50"/>
  <c r="F22" i="50"/>
  <c r="F21" i="50"/>
  <c r="F20" i="50"/>
  <c r="F18" i="50"/>
  <c r="F17" i="50"/>
  <c r="F16" i="50"/>
  <c r="F15" i="50"/>
  <c r="F14" i="50"/>
  <c r="F13" i="50"/>
  <c r="E51" i="33"/>
  <c r="D1476" i="37"/>
  <c r="D51" i="33"/>
  <c r="C1476" i="37" s="1"/>
  <c r="E46" i="33"/>
  <c r="D1471" i="37" s="1"/>
  <c r="D46" i="33"/>
  <c r="C1471" i="37" s="1"/>
  <c r="H1471" i="37"/>
  <c r="E37" i="33"/>
  <c r="D1462" i="37" s="1"/>
  <c r="D37" i="33"/>
  <c r="C1462" i="37" s="1"/>
  <c r="E30" i="33"/>
  <c r="D1455" i="37" s="1"/>
  <c r="D30" i="33"/>
  <c r="E21" i="33"/>
  <c r="D1446" i="37"/>
  <c r="C1446" i="37"/>
  <c r="H1446" i="37"/>
  <c r="D21" i="33"/>
  <c r="E14" i="33"/>
  <c r="D1439" i="37" s="1"/>
  <c r="D14" i="33"/>
  <c r="C1439" i="37"/>
  <c r="D13" i="36"/>
  <c r="D17" i="36"/>
  <c r="F17" i="36" s="1"/>
  <c r="D20" i="36"/>
  <c r="D29" i="36"/>
  <c r="F29" i="36" s="1"/>
  <c r="D35" i="36"/>
  <c r="C1323" i="37" s="1"/>
  <c r="D43" i="36"/>
  <c r="C1331" i="37" s="1"/>
  <c r="D46" i="36"/>
  <c r="C1334" i="37" s="1"/>
  <c r="D50" i="36"/>
  <c r="C1338" i="37" s="1"/>
  <c r="D57" i="36"/>
  <c r="D61" i="36"/>
  <c r="C1349" i="37" s="1"/>
  <c r="D68" i="36"/>
  <c r="C1356" i="37" s="1"/>
  <c r="D73" i="36"/>
  <c r="C1361" i="37" s="1"/>
  <c r="D82" i="36"/>
  <c r="C1370" i="37" s="1"/>
  <c r="D89" i="36"/>
  <c r="C1377" i="37" s="1"/>
  <c r="D97" i="36"/>
  <c r="F97" i="36" s="1"/>
  <c r="C1385" i="37"/>
  <c r="D101" i="36"/>
  <c r="C1389" i="37" s="1"/>
  <c r="D106" i="36"/>
  <c r="C1394" i="37" s="1"/>
  <c r="D114" i="36"/>
  <c r="C1402" i="37" s="1"/>
  <c r="D122" i="36"/>
  <c r="D125" i="36"/>
  <c r="C1413" i="37" s="1"/>
  <c r="D129" i="36"/>
  <c r="C1417" i="37" s="1"/>
  <c r="D137" i="36"/>
  <c r="D136" i="36" s="1"/>
  <c r="C1424" i="37" s="1"/>
  <c r="E13" i="36"/>
  <c r="F13" i="36" s="1"/>
  <c r="E17" i="36"/>
  <c r="D1305" i="37" s="1"/>
  <c r="E20" i="36"/>
  <c r="D1308" i="37" s="1"/>
  <c r="E29" i="36"/>
  <c r="D1317" i="37" s="1"/>
  <c r="E35" i="36"/>
  <c r="D1323" i="37" s="1"/>
  <c r="E43" i="36"/>
  <c r="D1331" i="37" s="1"/>
  <c r="E46" i="36"/>
  <c r="D1334" i="37" s="1"/>
  <c r="E50" i="36"/>
  <c r="D1338" i="37" s="1"/>
  <c r="E57" i="36"/>
  <c r="D1345" i="37" s="1"/>
  <c r="E61" i="36"/>
  <c r="D1349" i="37" s="1"/>
  <c r="E68" i="36"/>
  <c r="D1356" i="37" s="1"/>
  <c r="E73" i="36"/>
  <c r="D1361" i="37" s="1"/>
  <c r="E82" i="36"/>
  <c r="D1370" i="37" s="1"/>
  <c r="E89" i="36"/>
  <c r="D1377" i="37" s="1"/>
  <c r="E97" i="36"/>
  <c r="D1385" i="37" s="1"/>
  <c r="E101" i="36"/>
  <c r="D1389" i="37" s="1"/>
  <c r="E106" i="36"/>
  <c r="E114" i="36"/>
  <c r="D1402" i="37" s="1"/>
  <c r="E122" i="36"/>
  <c r="E125" i="36"/>
  <c r="D1413" i="37" s="1"/>
  <c r="E129" i="36"/>
  <c r="D1417" i="37" s="1"/>
  <c r="E137" i="36"/>
  <c r="F147" i="36"/>
  <c r="F146" i="36"/>
  <c r="F145" i="36"/>
  <c r="F144" i="36"/>
  <c r="F143" i="36"/>
  <c r="F142" i="36"/>
  <c r="F141" i="36"/>
  <c r="F140" i="36"/>
  <c r="F139" i="36"/>
  <c r="F138" i="36"/>
  <c r="F135" i="36"/>
  <c r="F134" i="36"/>
  <c r="F133" i="36"/>
  <c r="F132" i="36"/>
  <c r="F131" i="36"/>
  <c r="F130" i="36"/>
  <c r="F128" i="36"/>
  <c r="F127" i="36"/>
  <c r="F126" i="36"/>
  <c r="F124" i="36"/>
  <c r="F123" i="36"/>
  <c r="F120" i="36"/>
  <c r="F119" i="36"/>
  <c r="F118" i="36"/>
  <c r="F117" i="36"/>
  <c r="F116" i="36"/>
  <c r="F115" i="36"/>
  <c r="F113" i="36"/>
  <c r="F112" i="36"/>
  <c r="F111" i="36"/>
  <c r="F110" i="36"/>
  <c r="F109" i="36"/>
  <c r="F108" i="36"/>
  <c r="F107" i="36"/>
  <c r="F105" i="36"/>
  <c r="F104" i="36"/>
  <c r="F103" i="36"/>
  <c r="F102" i="36"/>
  <c r="F100" i="36"/>
  <c r="F99" i="36"/>
  <c r="F98" i="36"/>
  <c r="F95" i="36"/>
  <c r="F94" i="36"/>
  <c r="F93" i="36"/>
  <c r="F92" i="36"/>
  <c r="F91" i="36"/>
  <c r="F90" i="36"/>
  <c r="F88" i="36"/>
  <c r="F87" i="36"/>
  <c r="F86" i="36"/>
  <c r="F85" i="36"/>
  <c r="F84" i="36"/>
  <c r="F83" i="36"/>
  <c r="F81" i="36"/>
  <c r="F80" i="36"/>
  <c r="F79" i="36"/>
  <c r="F78" i="36"/>
  <c r="F77" i="36"/>
  <c r="F76" i="36"/>
  <c r="F75" i="36"/>
  <c r="F74" i="36"/>
  <c r="F72" i="36"/>
  <c r="F71" i="36"/>
  <c r="F70" i="36"/>
  <c r="F69"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6" i="36"/>
  <c r="F15" i="36"/>
  <c r="F14" i="36"/>
  <c r="F287" i="27"/>
  <c r="F286" i="27"/>
  <c r="F285" i="27"/>
  <c r="F282" i="27"/>
  <c r="F280" i="27"/>
  <c r="F279" i="27"/>
  <c r="F278" i="27"/>
  <c r="F277" i="27"/>
  <c r="F276" i="27"/>
  <c r="F271" i="27"/>
  <c r="F259" i="27"/>
  <c r="F258" i="27"/>
  <c r="F257" i="27"/>
  <c r="F256" i="27"/>
  <c r="F255" i="27"/>
  <c r="F254" i="27"/>
  <c r="F253" i="27"/>
  <c r="F252" i="27"/>
  <c r="F251" i="27"/>
  <c r="F250" i="27"/>
  <c r="F249" i="27"/>
  <c r="F270" i="27"/>
  <c r="F269" i="27"/>
  <c r="F268" i="27"/>
  <c r="F267" i="27"/>
  <c r="F266" i="27"/>
  <c r="F265" i="27"/>
  <c r="F264" i="27"/>
  <c r="F263" i="27"/>
  <c r="F262" i="27"/>
  <c r="F261" i="27"/>
  <c r="F260" i="27"/>
  <c r="F240" i="27"/>
  <c r="F228" i="27"/>
  <c r="F227" i="27"/>
  <c r="F226" i="27"/>
  <c r="F224" i="27"/>
  <c r="F223" i="27"/>
  <c r="F189" i="27"/>
  <c r="F188" i="27"/>
  <c r="F187" i="27"/>
  <c r="F184" i="27"/>
  <c r="F183" i="27"/>
  <c r="F182" i="27"/>
  <c r="F181" i="27"/>
  <c r="F180" i="27"/>
  <c r="F179" i="27"/>
  <c r="F178" i="27"/>
  <c r="F176" i="27"/>
  <c r="F175" i="27"/>
  <c r="F174" i="27"/>
  <c r="F173" i="27"/>
  <c r="F172" i="27"/>
  <c r="F171" i="27"/>
  <c r="F168" i="27"/>
  <c r="F167" i="27"/>
  <c r="F166" i="27"/>
  <c r="F165" i="27"/>
  <c r="F164" i="27"/>
  <c r="F163" i="27"/>
  <c r="F162" i="27"/>
  <c r="F161" i="27"/>
  <c r="F160" i="27"/>
  <c r="E751" i="1"/>
  <c r="D738" i="37" s="1"/>
  <c r="D751" i="1"/>
  <c r="C738" i="37" s="1"/>
  <c r="E813" i="1"/>
  <c r="D800" i="37" s="1"/>
  <c r="D813" i="1"/>
  <c r="C800" i="37" s="1"/>
  <c r="E877" i="1"/>
  <c r="D864" i="37" s="1"/>
  <c r="D877" i="1"/>
  <c r="C864" i="37" s="1"/>
  <c r="E604" i="1"/>
  <c r="D592" i="37" s="1"/>
  <c r="D604" i="1"/>
  <c r="E601" i="1"/>
  <c r="D589" i="37" s="1"/>
  <c r="D601" i="1"/>
  <c r="C589" i="37" s="1"/>
  <c r="E598" i="1"/>
  <c r="D586" i="37" s="1"/>
  <c r="D598" i="1"/>
  <c r="C586" i="37" s="1"/>
  <c r="E589" i="1"/>
  <c r="D577" i="37" s="1"/>
  <c r="D589" i="1"/>
  <c r="C577" i="37" s="1"/>
  <c r="E575" i="1"/>
  <c r="D575" i="1"/>
  <c r="C563" i="37" s="1"/>
  <c r="E577" i="1"/>
  <c r="D565" i="37" s="1"/>
  <c r="D577" i="1"/>
  <c r="C565" i="37" s="1"/>
  <c r="E571" i="1"/>
  <c r="D559" i="37" s="1"/>
  <c r="D571" i="1"/>
  <c r="C559" i="37" s="1"/>
  <c r="E566" i="1"/>
  <c r="D554" i="37" s="1"/>
  <c r="D566" i="1"/>
  <c r="C554" i="37" s="1"/>
  <c r="E562" i="1"/>
  <c r="D562" i="1"/>
  <c r="C550" i="37" s="1"/>
  <c r="E559" i="1"/>
  <c r="D547" i="37" s="1"/>
  <c r="D559" i="1"/>
  <c r="C547" i="37" s="1"/>
  <c r="E557" i="1"/>
  <c r="D545" i="37" s="1"/>
  <c r="D557" i="1"/>
  <c r="C545" i="37" s="1"/>
  <c r="E553" i="1"/>
  <c r="D541" i="37" s="1"/>
  <c r="D553" i="1"/>
  <c r="F553" i="1" s="1"/>
  <c r="E549" i="1"/>
  <c r="D537" i="37" s="1"/>
  <c r="D549" i="1"/>
  <c r="F549" i="1" s="1"/>
  <c r="E546" i="1"/>
  <c r="D546" i="1"/>
  <c r="F546" i="1" s="1"/>
  <c r="E543" i="1"/>
  <c r="D531" i="37" s="1"/>
  <c r="D543" i="1"/>
  <c r="F543" i="1" s="1"/>
  <c r="E540" i="1"/>
  <c r="D528" i="37" s="1"/>
  <c r="D540" i="1"/>
  <c r="C528" i="37" s="1"/>
  <c r="E531" i="1"/>
  <c r="D519" i="37" s="1"/>
  <c r="D531" i="1"/>
  <c r="F531" i="1" s="1"/>
  <c r="E526" i="1"/>
  <c r="D514" i="37" s="1"/>
  <c r="D526" i="1"/>
  <c r="C514" i="37" s="1"/>
  <c r="E519" i="1"/>
  <c r="D507" i="37" s="1"/>
  <c r="D519" i="1"/>
  <c r="C507" i="37" s="1"/>
  <c r="E517" i="1"/>
  <c r="D505" i="37" s="1"/>
  <c r="D517" i="1"/>
  <c r="C505" i="37" s="1"/>
  <c r="E513" i="1"/>
  <c r="D501" i="37" s="1"/>
  <c r="D513" i="1"/>
  <c r="C501" i="37" s="1"/>
  <c r="E510" i="1"/>
  <c r="D498" i="37" s="1"/>
  <c r="D510" i="1"/>
  <c r="C498" i="37" s="1"/>
  <c r="E505" i="1"/>
  <c r="D493" i="37" s="1"/>
  <c r="D505" i="1"/>
  <c r="E500" i="1"/>
  <c r="D488" i="37" s="1"/>
  <c r="D500" i="1"/>
  <c r="C488" i="37" s="1"/>
  <c r="E497" i="1"/>
  <c r="D485" i="37" s="1"/>
  <c r="D497" i="1"/>
  <c r="E494" i="1"/>
  <c r="D482" i="37" s="1"/>
  <c r="D494" i="1"/>
  <c r="C482" i="37" s="1"/>
  <c r="E491" i="1"/>
  <c r="D491" i="1"/>
  <c r="E483" i="1"/>
  <c r="D471" i="37" s="1"/>
  <c r="D483" i="1"/>
  <c r="C471" i="37" s="1"/>
  <c r="E478" i="1"/>
  <c r="D466" i="37" s="1"/>
  <c r="D478" i="1"/>
  <c r="E469" i="1"/>
  <c r="D457" i="37" s="1"/>
  <c r="D469" i="1"/>
  <c r="C457" i="37" s="1"/>
  <c r="E465" i="1"/>
  <c r="D453" i="37" s="1"/>
  <c r="D465" i="1"/>
  <c r="F465" i="1" s="1"/>
  <c r="E460" i="1"/>
  <c r="D448" i="37" s="1"/>
  <c r="D460" i="1"/>
  <c r="F460" i="1" s="1"/>
  <c r="E456" i="1"/>
  <c r="D444" i="37" s="1"/>
  <c r="D456" i="1"/>
  <c r="C444" i="37" s="1"/>
  <c r="E453" i="1"/>
  <c r="D441" i="37" s="1"/>
  <c r="D453" i="1"/>
  <c r="F453" i="1" s="1"/>
  <c r="E451" i="1"/>
  <c r="D439" i="37" s="1"/>
  <c r="D451" i="1"/>
  <c r="F451" i="1" s="1"/>
  <c r="E447" i="1"/>
  <c r="D435" i="37" s="1"/>
  <c r="D447" i="1"/>
  <c r="C435" i="37" s="1"/>
  <c r="E443" i="1"/>
  <c r="D431" i="37" s="1"/>
  <c r="D443" i="1"/>
  <c r="E440" i="1"/>
  <c r="D428" i="37" s="1"/>
  <c r="D440" i="1"/>
  <c r="C428" i="37" s="1"/>
  <c r="E437" i="1"/>
  <c r="D425" i="37" s="1"/>
  <c r="D437" i="1"/>
  <c r="C425" i="37" s="1"/>
  <c r="E434" i="1"/>
  <c r="D434" i="1"/>
  <c r="C422" i="37" s="1"/>
  <c r="E425" i="1"/>
  <c r="D413" i="37" s="1"/>
  <c r="D425" i="1"/>
  <c r="C413" i="37" s="1"/>
  <c r="E420" i="1"/>
  <c r="D408" i="37" s="1"/>
  <c r="D420" i="1"/>
  <c r="C408" i="37" s="1"/>
  <c r="E413" i="1"/>
  <c r="D401" i="37" s="1"/>
  <c r="D413" i="1"/>
  <c r="C401" i="37" s="1"/>
  <c r="E411" i="1"/>
  <c r="D411" i="1"/>
  <c r="C399" i="37" s="1"/>
  <c r="E407" i="1"/>
  <c r="D395" i="37" s="1"/>
  <c r="D407" i="1"/>
  <c r="C395" i="37" s="1"/>
  <c r="E404" i="1"/>
  <c r="D392" i="37" s="1"/>
  <c r="D404" i="1"/>
  <c r="C392" i="37" s="1"/>
  <c r="E399" i="1"/>
  <c r="D387" i="37" s="1"/>
  <c r="D399" i="1"/>
  <c r="F399" i="1" s="1"/>
  <c r="E395" i="1"/>
  <c r="D384" i="37" s="1"/>
  <c r="D395" i="1"/>
  <c r="E394" i="1"/>
  <c r="D383" i="37" s="1"/>
  <c r="D394" i="1"/>
  <c r="C383" i="37" s="1"/>
  <c r="D393" i="1"/>
  <c r="E393" i="1"/>
  <c r="E382" i="1"/>
  <c r="D371" i="37" s="1"/>
  <c r="D382" i="1"/>
  <c r="C371" i="37" s="1"/>
  <c r="E380" i="1"/>
  <c r="D369" i="37" s="1"/>
  <c r="D380" i="1"/>
  <c r="C369" i="37" s="1"/>
  <c r="E378" i="1"/>
  <c r="D367" i="37" s="1"/>
  <c r="D378" i="1"/>
  <c r="C367" i="37" s="1"/>
  <c r="E376" i="1"/>
  <c r="D365" i="37" s="1"/>
  <c r="D376" i="1"/>
  <c r="E374" i="1"/>
  <c r="D363" i="37" s="1"/>
  <c r="D374" i="1"/>
  <c r="E371" i="1"/>
  <c r="D360" i="37" s="1"/>
  <c r="D371" i="1"/>
  <c r="C360" i="37" s="1"/>
  <c r="E368" i="1"/>
  <c r="D357" i="37" s="1"/>
  <c r="D368" i="1"/>
  <c r="C357" i="37" s="1"/>
  <c r="E357" i="1"/>
  <c r="D346" i="37" s="1"/>
  <c r="D357" i="1"/>
  <c r="C346" i="37" s="1"/>
  <c r="E354" i="1"/>
  <c r="D343" i="37" s="1"/>
  <c r="D354" i="1"/>
  <c r="C343" i="37" s="1"/>
  <c r="E349" i="1"/>
  <c r="D338" i="37" s="1"/>
  <c r="D349" i="1"/>
  <c r="C338" i="37" s="1"/>
  <c r="E344" i="1"/>
  <c r="D333" i="37" s="1"/>
  <c r="D344" i="1"/>
  <c r="C333" i="37" s="1"/>
  <c r="E336" i="1"/>
  <c r="D325" i="37" s="1"/>
  <c r="D336" i="1"/>
  <c r="C325" i="37" s="1"/>
  <c r="E331" i="1"/>
  <c r="D320" i="37" s="1"/>
  <c r="D331" i="1"/>
  <c r="F331" i="1" s="1"/>
  <c r="E328" i="1"/>
  <c r="D317" i="37" s="1"/>
  <c r="D328" i="1"/>
  <c r="C317" i="37" s="1"/>
  <c r="E321" i="1"/>
  <c r="D310" i="37" s="1"/>
  <c r="D321" i="1"/>
  <c r="C310" i="37" s="1"/>
  <c r="E317" i="1"/>
  <c r="D306" i="37" s="1"/>
  <c r="D317" i="1"/>
  <c r="C306" i="37" s="1"/>
  <c r="E313" i="1"/>
  <c r="D302" i="37" s="1"/>
  <c r="D313" i="1"/>
  <c r="F313" i="1" s="1"/>
  <c r="E309" i="1"/>
  <c r="D298" i="37" s="1"/>
  <c r="D309" i="1"/>
  <c r="C298" i="37" s="1"/>
  <c r="E303" i="1"/>
  <c r="D292" i="37" s="1"/>
  <c r="D303" i="1"/>
  <c r="E300" i="1"/>
  <c r="D289" i="37" s="1"/>
  <c r="D300" i="1"/>
  <c r="C289" i="37" s="1"/>
  <c r="E295" i="1"/>
  <c r="D284" i="37" s="1"/>
  <c r="D295" i="1"/>
  <c r="C284" i="37" s="1"/>
  <c r="E290" i="1"/>
  <c r="D279" i="37" s="1"/>
  <c r="D290" i="1"/>
  <c r="C279" i="37" s="1"/>
  <c r="E282" i="1"/>
  <c r="D271" i="37" s="1"/>
  <c r="D282" i="1"/>
  <c r="E277" i="1"/>
  <c r="D266" i="37" s="1"/>
  <c r="D277" i="1"/>
  <c r="C266" i="37" s="1"/>
  <c r="E269" i="1"/>
  <c r="D258" i="37" s="1"/>
  <c r="D269" i="1"/>
  <c r="C258" i="37" s="1"/>
  <c r="E265" i="1"/>
  <c r="D254" i="37" s="1"/>
  <c r="D265" i="1"/>
  <c r="E253" i="1"/>
  <c r="D243" i="37" s="1"/>
  <c r="E254" i="1"/>
  <c r="D244" i="37" s="1"/>
  <c r="D254" i="1"/>
  <c r="C244" i="37" s="1"/>
  <c r="D253" i="1"/>
  <c r="C243" i="37" s="1"/>
  <c r="E247" i="1"/>
  <c r="D237" i="37" s="1"/>
  <c r="D247" i="1"/>
  <c r="E242" i="1"/>
  <c r="D232" i="37" s="1"/>
  <c r="D242" i="1"/>
  <c r="C232" i="37" s="1"/>
  <c r="E239" i="1"/>
  <c r="D229" i="37" s="1"/>
  <c r="D239" i="1"/>
  <c r="C229" i="37" s="1"/>
  <c r="E236" i="1"/>
  <c r="D226" i="37" s="1"/>
  <c r="D236" i="1"/>
  <c r="C226" i="37" s="1"/>
  <c r="E232" i="1"/>
  <c r="D222" i="37" s="1"/>
  <c r="D232" i="1"/>
  <c r="C222" i="37" s="1"/>
  <c r="E229" i="1"/>
  <c r="D219" i="37" s="1"/>
  <c r="D229" i="1"/>
  <c r="F229" i="1" s="1"/>
  <c r="E223" i="1"/>
  <c r="D213" i="37" s="1"/>
  <c r="D223" i="1"/>
  <c r="C213" i="37" s="1"/>
  <c r="E220" i="1"/>
  <c r="D210" i="37" s="1"/>
  <c r="D220" i="1"/>
  <c r="C210" i="37" s="1"/>
  <c r="E217" i="1"/>
  <c r="D207" i="37" s="1"/>
  <c r="D217" i="1"/>
  <c r="C207" i="37" s="1"/>
  <c r="E212" i="1"/>
  <c r="D202" i="37" s="1"/>
  <c r="D212" i="1"/>
  <c r="E209" i="1"/>
  <c r="D199" i="37" s="1"/>
  <c r="D209" i="1"/>
  <c r="C199" i="37" s="1"/>
  <c r="E203" i="1"/>
  <c r="D193" i="37" s="1"/>
  <c r="D203" i="1"/>
  <c r="C193" i="37" s="1"/>
  <c r="E195" i="1"/>
  <c r="D185" i="37" s="1"/>
  <c r="D195" i="1"/>
  <c r="F195" i="1" s="1"/>
  <c r="E190" i="1"/>
  <c r="D180" i="37" s="1"/>
  <c r="D190" i="1"/>
  <c r="C180" i="37" s="1"/>
  <c r="E182" i="1"/>
  <c r="D172" i="37" s="1"/>
  <c r="D182" i="1"/>
  <c r="C172" i="37" s="1"/>
  <c r="E180" i="1"/>
  <c r="D170" i="37" s="1"/>
  <c r="D180" i="1"/>
  <c r="F180" i="1" s="1"/>
  <c r="E170" i="1"/>
  <c r="D170" i="1"/>
  <c r="C160" i="37" s="1"/>
  <c r="E162" i="1"/>
  <c r="D152" i="37" s="1"/>
  <c r="D162" i="1"/>
  <c r="C152" i="37" s="1"/>
  <c r="E157" i="1"/>
  <c r="D147" i="37" s="1"/>
  <c r="E152" i="1"/>
  <c r="D142" i="37" s="1"/>
  <c r="D152" i="1"/>
  <c r="C142" i="37" s="1"/>
  <c r="E150" i="1"/>
  <c r="D150" i="1"/>
  <c r="C140" i="37" s="1"/>
  <c r="E145" i="1"/>
  <c r="D145" i="1"/>
  <c r="C135" i="37" s="1"/>
  <c r="E141" i="1"/>
  <c r="D131" i="37" s="1"/>
  <c r="D141" i="1"/>
  <c r="C131" i="37" s="1"/>
  <c r="D126" i="1"/>
  <c r="E126" i="1"/>
  <c r="D116" i="37" s="1"/>
  <c r="E131" i="1"/>
  <c r="D121" i="37" s="1"/>
  <c r="D131" i="1"/>
  <c r="C121" i="37" s="1"/>
  <c r="E122" i="1"/>
  <c r="D112" i="37" s="1"/>
  <c r="D122" i="1"/>
  <c r="C112" i="37" s="1"/>
  <c r="E119" i="1"/>
  <c r="D119" i="1"/>
  <c r="C109" i="37" s="1"/>
  <c r="D114" i="1"/>
  <c r="D107" i="1"/>
  <c r="E114" i="1"/>
  <c r="D104" i="37" s="1"/>
  <c r="E107" i="1"/>
  <c r="D97" i="37" s="1"/>
  <c r="E102" i="1"/>
  <c r="D92" i="37" s="1"/>
  <c r="D102" i="1"/>
  <c r="C92" i="37" s="1"/>
  <c r="E93" i="1"/>
  <c r="D83" i="37" s="1"/>
  <c r="D93" i="1"/>
  <c r="C83" i="37" s="1"/>
  <c r="E87" i="1"/>
  <c r="D77" i="37" s="1"/>
  <c r="D87" i="1"/>
  <c r="C77" i="37" s="1"/>
  <c r="E79" i="1"/>
  <c r="D69" i="37" s="1"/>
  <c r="D79" i="1"/>
  <c r="C69" i="37" s="1"/>
  <c r="E75" i="1"/>
  <c r="D65" i="37" s="1"/>
  <c r="D75" i="1"/>
  <c r="C65" i="37" s="1"/>
  <c r="E72" i="1"/>
  <c r="D62" i="37" s="1"/>
  <c r="D72" i="1"/>
  <c r="E67" i="1"/>
  <c r="D67" i="1"/>
  <c r="C57" i="37" s="1"/>
  <c r="E62" i="1"/>
  <c r="D52" i="37" s="1"/>
  <c r="D62" i="1"/>
  <c r="C52" i="37" s="1"/>
  <c r="E59" i="1"/>
  <c r="D49" i="37" s="1"/>
  <c r="D59" i="1"/>
  <c r="E56" i="1"/>
  <c r="D46" i="37" s="1"/>
  <c r="D56" i="1"/>
  <c r="F56" i="1" s="1"/>
  <c r="E54" i="1"/>
  <c r="D44" i="37" s="1"/>
  <c r="D54" i="1"/>
  <c r="C44" i="37" s="1"/>
  <c r="E51" i="1"/>
  <c r="D51" i="1"/>
  <c r="C41" i="37" s="1"/>
  <c r="E46" i="1"/>
  <c r="D36" i="37" s="1"/>
  <c r="D46" i="1"/>
  <c r="C36" i="37" s="1"/>
  <c r="E43" i="1"/>
  <c r="D33" i="37" s="1"/>
  <c r="D43" i="1"/>
  <c r="C33" i="37" s="1"/>
  <c r="E35" i="1"/>
  <c r="D25" i="37" s="1"/>
  <c r="D35" i="1"/>
  <c r="C25" i="37" s="1"/>
  <c r="E29" i="1"/>
  <c r="D29" i="1"/>
  <c r="C19" i="37" s="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15" i="1"/>
  <c r="F16" i="1"/>
  <c r="F17" i="1"/>
  <c r="F18" i="1"/>
  <c r="F19" i="1"/>
  <c r="F20" i="1"/>
  <c r="F21" i="1"/>
  <c r="F22" i="1"/>
  <c r="F24" i="1"/>
  <c r="F25" i="1"/>
  <c r="F26" i="1"/>
  <c r="F27" i="1"/>
  <c r="F28" i="1"/>
  <c r="F30" i="1"/>
  <c r="F31" i="1"/>
  <c r="F32" i="1"/>
  <c r="F33" i="1"/>
  <c r="F34" i="1"/>
  <c r="F36" i="1"/>
  <c r="F37" i="1"/>
  <c r="F38" i="1"/>
  <c r="F39" i="1"/>
  <c r="F40" i="1"/>
  <c r="F41" i="1"/>
  <c r="F42" i="1"/>
  <c r="F44" i="1"/>
  <c r="F45" i="1"/>
  <c r="F47" i="1"/>
  <c r="F48" i="1"/>
  <c r="F49" i="1"/>
  <c r="F52" i="1"/>
  <c r="F53" i="1"/>
  <c r="F55" i="1"/>
  <c r="F57" i="1"/>
  <c r="F60" i="1"/>
  <c r="F61" i="1"/>
  <c r="F63" i="1"/>
  <c r="F64" i="1"/>
  <c r="F65" i="1"/>
  <c r="F66" i="1"/>
  <c r="F68" i="1"/>
  <c r="F69" i="1"/>
  <c r="F70" i="1"/>
  <c r="F71" i="1"/>
  <c r="F73" i="1"/>
  <c r="F74" i="1"/>
  <c r="F76" i="1"/>
  <c r="F77" i="1"/>
  <c r="F80" i="1"/>
  <c r="F81" i="1"/>
  <c r="F82" i="1"/>
  <c r="F83" i="1"/>
  <c r="F84" i="1"/>
  <c r="F85" i="1"/>
  <c r="F86" i="1"/>
  <c r="F88" i="1"/>
  <c r="F89" i="1"/>
  <c r="F90" i="1"/>
  <c r="F91" i="1"/>
  <c r="F92" i="1"/>
  <c r="F94" i="1"/>
  <c r="F95" i="1"/>
  <c r="F96" i="1"/>
  <c r="F97" i="1"/>
  <c r="F98" i="1"/>
  <c r="F99" i="1"/>
  <c r="F100" i="1"/>
  <c r="F103" i="1"/>
  <c r="F104" i="1"/>
  <c r="F105" i="1"/>
  <c r="F106" i="1"/>
  <c r="F108" i="1"/>
  <c r="F109" i="1"/>
  <c r="F110" i="1"/>
  <c r="F111" i="1"/>
  <c r="F112" i="1"/>
  <c r="F113" i="1"/>
  <c r="F115" i="1"/>
  <c r="F116" i="1"/>
  <c r="F117" i="1"/>
  <c r="F120" i="1"/>
  <c r="F121" i="1"/>
  <c r="F123" i="1"/>
  <c r="F124" i="1"/>
  <c r="F127" i="1"/>
  <c r="F128" i="1"/>
  <c r="F129" i="1"/>
  <c r="F132" i="1"/>
  <c r="F133" i="1"/>
  <c r="F134" i="1"/>
  <c r="F135" i="1"/>
  <c r="F136" i="1"/>
  <c r="F137" i="1"/>
  <c r="F138" i="1"/>
  <c r="F139" i="1"/>
  <c r="F140" i="1"/>
  <c r="F142" i="1"/>
  <c r="F146" i="1"/>
  <c r="F147" i="1"/>
  <c r="F148" i="1"/>
  <c r="F149" i="1"/>
  <c r="F151" i="1"/>
  <c r="F153" i="1"/>
  <c r="F154" i="1"/>
  <c r="F155" i="1"/>
  <c r="F158" i="1"/>
  <c r="F159" i="1"/>
  <c r="F160" i="1"/>
  <c r="F161" i="1"/>
  <c r="F163" i="1"/>
  <c r="F164" i="1"/>
  <c r="F165" i="1"/>
  <c r="F166" i="1"/>
  <c r="F167" i="1"/>
  <c r="F168" i="1"/>
  <c r="F169" i="1"/>
  <c r="F171" i="1"/>
  <c r="F172" i="1"/>
  <c r="F173" i="1"/>
  <c r="F174" i="1"/>
  <c r="F175" i="1"/>
  <c r="F176" i="1"/>
  <c r="F177" i="1"/>
  <c r="F178" i="1"/>
  <c r="F179" i="1"/>
  <c r="F181" i="1"/>
  <c r="F183" i="1"/>
  <c r="F184" i="1"/>
  <c r="F185" i="1"/>
  <c r="F186" i="1"/>
  <c r="F187" i="1"/>
  <c r="F188" i="1"/>
  <c r="F191" i="1"/>
  <c r="F192" i="1"/>
  <c r="F193" i="1"/>
  <c r="F194" i="1"/>
  <c r="F196" i="1"/>
  <c r="F197" i="1"/>
  <c r="F198" i="1"/>
  <c r="F199" i="1"/>
  <c r="F200" i="1"/>
  <c r="F201" i="1"/>
  <c r="F202" i="1"/>
  <c r="F204" i="1"/>
  <c r="F205" i="1"/>
  <c r="F206" i="1"/>
  <c r="F207" i="1"/>
  <c r="F210" i="1"/>
  <c r="F211" i="1"/>
  <c r="F213" i="1"/>
  <c r="F214" i="1"/>
  <c r="F215" i="1"/>
  <c r="F218" i="1"/>
  <c r="F219" i="1"/>
  <c r="F221" i="1"/>
  <c r="F222" i="1"/>
  <c r="F224" i="1"/>
  <c r="F225" i="1"/>
  <c r="F226" i="1"/>
  <c r="F227" i="1"/>
  <c r="F230" i="1"/>
  <c r="F231" i="1"/>
  <c r="F233" i="1"/>
  <c r="F234" i="1"/>
  <c r="F237" i="1"/>
  <c r="F238" i="1"/>
  <c r="F240" i="1"/>
  <c r="F241" i="1"/>
  <c r="F243" i="1"/>
  <c r="F244" i="1"/>
  <c r="F245" i="1"/>
  <c r="F246" i="1"/>
  <c r="F248" i="1"/>
  <c r="F249" i="1"/>
  <c r="F250" i="1"/>
  <c r="F251" i="1"/>
  <c r="F252" i="1"/>
  <c r="F258" i="1"/>
  <c r="F259" i="1"/>
  <c r="F260" i="1"/>
  <c r="F261" i="1"/>
  <c r="F631" i="1"/>
  <c r="F630" i="1"/>
  <c r="F629" i="1"/>
  <c r="F628" i="1"/>
  <c r="F627" i="1"/>
  <c r="F626" i="1"/>
  <c r="F625" i="1"/>
  <c r="F623" i="1"/>
  <c r="F622" i="1"/>
  <c r="F621" i="1"/>
  <c r="F619" i="1"/>
  <c r="F610" i="1"/>
  <c r="F609" i="1"/>
  <c r="F606" i="1"/>
  <c r="F605" i="1"/>
  <c r="F603" i="1"/>
  <c r="F602" i="1"/>
  <c r="F600" i="1"/>
  <c r="F599" i="1"/>
  <c r="F596" i="1"/>
  <c r="F595" i="1"/>
  <c r="F594" i="1"/>
  <c r="F593" i="1"/>
  <c r="F592" i="1"/>
  <c r="F591" i="1"/>
  <c r="F590" i="1"/>
  <c r="F588" i="1"/>
  <c r="F587" i="1"/>
  <c r="F586" i="1"/>
  <c r="F585" i="1"/>
  <c r="F583" i="1"/>
  <c r="F582" i="1"/>
  <c r="F581" i="1"/>
  <c r="F580" i="1"/>
  <c r="F579" i="1"/>
  <c r="F578" i="1"/>
  <c r="F576" i="1"/>
  <c r="F574" i="1"/>
  <c r="F573" i="1"/>
  <c r="F572" i="1"/>
  <c r="F570" i="1"/>
  <c r="F569" i="1"/>
  <c r="F568" i="1"/>
  <c r="F567" i="1"/>
  <c r="F564" i="1"/>
  <c r="F563" i="1"/>
  <c r="F561" i="1"/>
  <c r="F560" i="1"/>
  <c r="F558" i="1"/>
  <c r="F556" i="1"/>
  <c r="F555" i="1"/>
  <c r="F554" i="1"/>
  <c r="F551" i="1"/>
  <c r="F550" i="1"/>
  <c r="F548" i="1"/>
  <c r="F547" i="1"/>
  <c r="F545" i="1"/>
  <c r="F544" i="1"/>
  <c r="F542" i="1"/>
  <c r="F541" i="1"/>
  <c r="F538" i="1"/>
  <c r="F537" i="1"/>
  <c r="F536" i="1"/>
  <c r="F535" i="1"/>
  <c r="F534" i="1"/>
  <c r="F533" i="1"/>
  <c r="F532" i="1"/>
  <c r="F530" i="1"/>
  <c r="F529" i="1"/>
  <c r="F528" i="1"/>
  <c r="F527" i="1"/>
  <c r="F525" i="1"/>
  <c r="F524" i="1"/>
  <c r="F523" i="1"/>
  <c r="F522" i="1"/>
  <c r="F521" i="1"/>
  <c r="F520" i="1"/>
  <c r="F518" i="1"/>
  <c r="F516" i="1"/>
  <c r="F515" i="1"/>
  <c r="F514" i="1"/>
  <c r="F512" i="1"/>
  <c r="F511" i="1"/>
  <c r="F509" i="1"/>
  <c r="F508" i="1"/>
  <c r="F507" i="1"/>
  <c r="F506" i="1"/>
  <c r="F502" i="1"/>
  <c r="F501" i="1"/>
  <c r="F499" i="1"/>
  <c r="F498" i="1"/>
  <c r="F496" i="1"/>
  <c r="F495" i="1"/>
  <c r="F493" i="1"/>
  <c r="F492" i="1"/>
  <c r="F489" i="1"/>
  <c r="F488" i="1"/>
  <c r="F487" i="1"/>
  <c r="F486" i="1"/>
  <c r="F485" i="1"/>
  <c r="F484" i="1"/>
  <c r="F482" i="1"/>
  <c r="F481" i="1"/>
  <c r="F480" i="1"/>
  <c r="F479" i="1"/>
  <c r="F477" i="1"/>
  <c r="F476" i="1"/>
  <c r="F475" i="1"/>
  <c r="F474" i="1"/>
  <c r="F473" i="1"/>
  <c r="F472" i="1"/>
  <c r="F470" i="1"/>
  <c r="F468" i="1"/>
  <c r="F467" i="1"/>
  <c r="F466" i="1"/>
  <c r="F464" i="1"/>
  <c r="F463" i="1"/>
  <c r="F462" i="1"/>
  <c r="F461" i="1"/>
  <c r="F458" i="1"/>
  <c r="F457" i="1"/>
  <c r="F455" i="1"/>
  <c r="F454" i="1"/>
  <c r="F452" i="1"/>
  <c r="F450" i="1"/>
  <c r="F449" i="1"/>
  <c r="F448" i="1"/>
  <c r="F445" i="1"/>
  <c r="F444" i="1"/>
  <c r="F442" i="1"/>
  <c r="F441" i="1"/>
  <c r="F439" i="1"/>
  <c r="F438" i="1"/>
  <c r="F436" i="1"/>
  <c r="F435" i="1"/>
  <c r="F432" i="1"/>
  <c r="F431" i="1"/>
  <c r="F430" i="1"/>
  <c r="F429" i="1"/>
  <c r="F428" i="1"/>
  <c r="F427" i="1"/>
  <c r="F426" i="1"/>
  <c r="F424" i="1"/>
  <c r="F423" i="1"/>
  <c r="F422" i="1"/>
  <c r="F421" i="1"/>
  <c r="F419" i="1"/>
  <c r="F418" i="1"/>
  <c r="F417" i="1"/>
  <c r="F416" i="1"/>
  <c r="F415" i="1"/>
  <c r="F414" i="1"/>
  <c r="F412" i="1"/>
  <c r="F410" i="1"/>
  <c r="F409" i="1"/>
  <c r="F408" i="1"/>
  <c r="F406" i="1"/>
  <c r="F405" i="1"/>
  <c r="F403" i="1"/>
  <c r="F402" i="1"/>
  <c r="F401" i="1"/>
  <c r="F400" i="1"/>
  <c r="F388" i="1"/>
  <c r="F387" i="1"/>
  <c r="F386" i="1"/>
  <c r="F383" i="1"/>
  <c r="F381" i="1"/>
  <c r="F379" i="1"/>
  <c r="F377" i="1"/>
  <c r="F375" i="1"/>
  <c r="F372" i="1"/>
  <c r="F369" i="1"/>
  <c r="F368" i="1"/>
  <c r="F367" i="1"/>
  <c r="F366" i="1"/>
  <c r="F363" i="1"/>
  <c r="F361" i="1"/>
  <c r="F360" i="1"/>
  <c r="F359" i="1"/>
  <c r="F358" i="1"/>
  <c r="F356" i="1"/>
  <c r="F355" i="1"/>
  <c r="F353" i="1"/>
  <c r="F352" i="1"/>
  <c r="F351" i="1"/>
  <c r="F350" i="1"/>
  <c r="F348" i="1"/>
  <c r="F347" i="1"/>
  <c r="F346" i="1"/>
  <c r="F345" i="1"/>
  <c r="F343" i="1"/>
  <c r="F342" i="1"/>
  <c r="F341" i="1"/>
  <c r="F340" i="1"/>
  <c r="F339" i="1"/>
  <c r="F338" i="1"/>
  <c r="F337" i="1"/>
  <c r="F335" i="1"/>
  <c r="F334" i="1"/>
  <c r="F333" i="1"/>
  <c r="F332" i="1"/>
  <c r="F329" i="1"/>
  <c r="F327" i="1"/>
  <c r="F326" i="1"/>
  <c r="F325" i="1"/>
  <c r="F324" i="1"/>
  <c r="F323" i="1"/>
  <c r="F322" i="1"/>
  <c r="F320" i="1"/>
  <c r="F319" i="1"/>
  <c r="F318" i="1"/>
  <c r="F314" i="1"/>
  <c r="F311" i="1"/>
  <c r="F310" i="1"/>
  <c r="F307" i="1"/>
  <c r="F306" i="1"/>
  <c r="F305" i="1"/>
  <c r="F304" i="1"/>
  <c r="F302" i="1"/>
  <c r="F301" i="1"/>
  <c r="F299" i="1"/>
  <c r="F298" i="1"/>
  <c r="F297" i="1"/>
  <c r="F296" i="1"/>
  <c r="F294" i="1"/>
  <c r="F293" i="1"/>
  <c r="F292" i="1"/>
  <c r="F291" i="1"/>
  <c r="F289" i="1"/>
  <c r="F288" i="1"/>
  <c r="F287" i="1"/>
  <c r="F286" i="1"/>
  <c r="F285" i="1"/>
  <c r="F284" i="1"/>
  <c r="F283" i="1"/>
  <c r="F281" i="1"/>
  <c r="F280" i="1"/>
  <c r="F279" i="1"/>
  <c r="F278" i="1"/>
  <c r="F275" i="1"/>
  <c r="F274" i="1"/>
  <c r="F273" i="1"/>
  <c r="F272" i="1"/>
  <c r="F271" i="1"/>
  <c r="F270" i="1"/>
  <c r="F268" i="1"/>
  <c r="F267" i="1"/>
  <c r="F266" i="1"/>
  <c r="A3" i="50"/>
  <c r="A3" i="33"/>
  <c r="A3" i="36"/>
  <c r="A3" i="27"/>
  <c r="A3" i="30"/>
  <c r="F2" i="3"/>
  <c r="Q2" i="3"/>
  <c r="A3" i="19"/>
  <c r="C20" i="42"/>
  <c r="L32" i="37"/>
  <c r="L31" i="37"/>
  <c r="L30" i="37"/>
  <c r="L29" i="37"/>
  <c r="L27" i="37"/>
  <c r="L28" i="37"/>
  <c r="L26" i="37"/>
  <c r="L23" i="37"/>
  <c r="L21" i="37"/>
  <c r="N22" i="42"/>
  <c r="K25" i="37" s="1"/>
  <c r="L24" i="37"/>
  <c r="L22" i="37"/>
  <c r="L18" i="37"/>
  <c r="L16" i="37"/>
  <c r="L15" i="37"/>
  <c r="L14" i="37"/>
  <c r="L12" i="37"/>
  <c r="K12" i="37"/>
  <c r="K19" i="37"/>
  <c r="L19" i="37" s="1"/>
  <c r="K20" i="37"/>
  <c r="L20" i="37" s="1"/>
  <c r="K17" i="37"/>
  <c r="L17" i="37" s="1"/>
  <c r="L5" i="37"/>
  <c r="K5" i="37"/>
  <c r="K32" i="37"/>
  <c r="K31" i="37"/>
  <c r="K30" i="37"/>
  <c r="K29" i="37"/>
  <c r="K28" i="37"/>
  <c r="K27" i="37"/>
  <c r="K23" i="37"/>
  <c r="K26" i="37"/>
  <c r="K21" i="37"/>
  <c r="C16" i="42"/>
  <c r="K24" i="37"/>
  <c r="K22" i="37"/>
  <c r="K18" i="37"/>
  <c r="K16" i="37"/>
  <c r="K15" i="37"/>
  <c r="K14" i="37"/>
  <c r="K13" i="37"/>
  <c r="A3" i="39"/>
  <c r="A3" i="1"/>
  <c r="I65" i="42"/>
  <c r="B65" i="42"/>
  <c r="K61" i="42"/>
  <c r="I61" i="42"/>
  <c r="B61" i="42"/>
  <c r="K60" i="42"/>
  <c r="J60" i="42"/>
  <c r="I60" i="42"/>
  <c r="B60" i="42"/>
  <c r="K59" i="42"/>
  <c r="J59" i="42"/>
  <c r="I59" i="42"/>
  <c r="B59" i="42"/>
  <c r="I58" i="42"/>
  <c r="B58" i="42"/>
  <c r="I57" i="42"/>
  <c r="B57" i="42"/>
  <c r="K56" i="42"/>
  <c r="I56" i="42"/>
  <c r="B56" i="42"/>
  <c r="I55" i="42"/>
  <c r="B55" i="42"/>
  <c r="I54" i="42"/>
  <c r="B54" i="42"/>
  <c r="I53" i="42"/>
  <c r="B53" i="42"/>
  <c r="B304" i="3"/>
  <c r="B5" i="1"/>
  <c r="F242" i="27"/>
  <c r="F243" i="27"/>
  <c r="F244" i="27"/>
  <c r="F245" i="27"/>
  <c r="F246" i="27"/>
  <c r="F247" i="27"/>
  <c r="F248" i="27"/>
  <c r="F272" i="27"/>
  <c r="F273" i="27"/>
  <c r="F241" i="27"/>
  <c r="F15" i="27"/>
  <c r="F16" i="27"/>
  <c r="F17" i="27"/>
  <c r="F20" i="27"/>
  <c r="F21" i="27"/>
  <c r="F22" i="27"/>
  <c r="F23" i="27"/>
  <c r="F24" i="27"/>
  <c r="F26" i="27"/>
  <c r="F27" i="27"/>
  <c r="F28" i="27"/>
  <c r="F29" i="27"/>
  <c r="F30" i="27"/>
  <c r="F31" i="27"/>
  <c r="F32" i="27"/>
  <c r="F33" i="27"/>
  <c r="F35" i="27"/>
  <c r="F36" i="27"/>
  <c r="F37" i="27"/>
  <c r="F38" i="27"/>
  <c r="F39" i="27"/>
  <c r="F41" i="27"/>
  <c r="F42" i="27"/>
  <c r="F43" i="27"/>
  <c r="F44" i="27"/>
  <c r="F45" i="27"/>
  <c r="F47" i="27"/>
  <c r="F48" i="27"/>
  <c r="F49" i="27"/>
  <c r="F51" i="27"/>
  <c r="F52" i="27"/>
  <c r="F53" i="27"/>
  <c r="F54" i="27"/>
  <c r="F55" i="27"/>
  <c r="F56" i="27"/>
  <c r="F58" i="27"/>
  <c r="F59" i="27"/>
  <c r="F60" i="27"/>
  <c r="F62" i="27"/>
  <c r="F63" i="27"/>
  <c r="F64" i="27"/>
  <c r="F65" i="27"/>
  <c r="F66" i="27"/>
  <c r="F67" i="27"/>
  <c r="F68" i="27"/>
  <c r="F69" i="27"/>
  <c r="F70" i="27"/>
  <c r="F71" i="27"/>
  <c r="F74" i="27"/>
  <c r="F75" i="27"/>
  <c r="F76" i="27"/>
  <c r="F77" i="27"/>
  <c r="F79" i="27"/>
  <c r="F80" i="27"/>
  <c r="F81" i="27"/>
  <c r="F82" i="27"/>
  <c r="F83" i="27"/>
  <c r="F86" i="27"/>
  <c r="F87" i="27"/>
  <c r="F88" i="27"/>
  <c r="F89" i="27"/>
  <c r="F90" i="27"/>
  <c r="F91" i="27"/>
  <c r="F92" i="27"/>
  <c r="F93" i="27"/>
  <c r="F94" i="27"/>
  <c r="F95" i="27"/>
  <c r="F96" i="27"/>
  <c r="F97" i="27"/>
  <c r="F98" i="27"/>
  <c r="F99" i="27"/>
  <c r="F100" i="27"/>
  <c r="F101" i="27"/>
  <c r="F102" i="27"/>
  <c r="F104" i="27"/>
  <c r="F105" i="27"/>
  <c r="F106" i="27"/>
  <c r="F107" i="27"/>
  <c r="F108" i="27"/>
  <c r="F109" i="27"/>
  <c r="F110" i="27"/>
  <c r="F111" i="27"/>
  <c r="F112" i="27"/>
  <c r="F113" i="27"/>
  <c r="F114" i="27"/>
  <c r="F117" i="27"/>
  <c r="F118" i="27"/>
  <c r="F119" i="27"/>
  <c r="F120" i="27"/>
  <c r="F121" i="27"/>
  <c r="F122" i="27"/>
  <c r="F123" i="27"/>
  <c r="F124" i="27"/>
  <c r="F125" i="27"/>
  <c r="F126" i="27"/>
  <c r="F127" i="27"/>
  <c r="F128" i="27"/>
  <c r="F129" i="27"/>
  <c r="F130" i="27"/>
  <c r="F133" i="27"/>
  <c r="F134" i="27"/>
  <c r="F135" i="27"/>
  <c r="F136" i="27"/>
  <c r="F137" i="27"/>
  <c r="F138" i="27"/>
  <c r="F140" i="27"/>
  <c r="F141" i="27"/>
  <c r="F142" i="27"/>
  <c r="F144" i="27"/>
  <c r="F145" i="27"/>
  <c r="F146" i="27"/>
  <c r="F147" i="27"/>
  <c r="F148" i="27"/>
  <c r="F149" i="27"/>
  <c r="F150" i="27"/>
  <c r="F151" i="27"/>
  <c r="F152" i="27"/>
  <c r="F153" i="27"/>
  <c r="F155" i="27"/>
  <c r="F156" i="27"/>
  <c r="F190" i="27"/>
  <c r="F191" i="27"/>
  <c r="F192" i="27"/>
  <c r="F193" i="27"/>
  <c r="F194" i="27"/>
  <c r="F195" i="27"/>
  <c r="F196" i="27"/>
  <c r="F197" i="27"/>
  <c r="F198" i="27"/>
  <c r="F199" i="27"/>
  <c r="F200" i="27"/>
  <c r="F201" i="27"/>
  <c r="F202" i="27"/>
  <c r="F204" i="27"/>
  <c r="F205" i="27"/>
  <c r="F206" i="27"/>
  <c r="F207" i="27"/>
  <c r="F208" i="27"/>
  <c r="F209" i="27"/>
  <c r="F210" i="27"/>
  <c r="F211" i="27"/>
  <c r="F212" i="27"/>
  <c r="F214" i="27"/>
  <c r="F215" i="27"/>
  <c r="F219" i="27"/>
  <c r="F220" i="27"/>
  <c r="F222" i="27"/>
  <c r="F230" i="27"/>
  <c r="F231" i="27"/>
  <c r="F232" i="27"/>
  <c r="F233" i="27"/>
  <c r="F234" i="27"/>
  <c r="F235" i="27"/>
  <c r="F236" i="27"/>
  <c r="F237" i="27"/>
  <c r="F238" i="27"/>
  <c r="H885" i="37"/>
  <c r="G882" i="37"/>
  <c r="H869" i="37"/>
  <c r="H855" i="37"/>
  <c r="H833" i="37"/>
  <c r="G825" i="37"/>
  <c r="H819" i="37"/>
  <c r="H817" i="37"/>
  <c r="H815" i="37"/>
  <c r="G815" i="37"/>
  <c r="H813" i="37"/>
  <c r="H811" i="37"/>
  <c r="E188" i="3"/>
  <c r="B188" i="3" s="1"/>
  <c r="G714" i="37"/>
  <c r="G707" i="37"/>
  <c r="H692" i="37"/>
  <c r="G691" i="37"/>
  <c r="H681" i="37"/>
  <c r="H661" i="37"/>
  <c r="H646" i="37"/>
  <c r="G646" i="37"/>
  <c r="G644" i="37"/>
  <c r="H644" i="37"/>
  <c r="H638" i="37"/>
  <c r="H634" i="37"/>
  <c r="G633" i="37"/>
  <c r="E45" i="3"/>
  <c r="B45" i="3" s="1"/>
  <c r="G622" i="37"/>
  <c r="H583" i="37"/>
  <c r="E149" i="3"/>
  <c r="B149" i="3" s="1"/>
  <c r="H567" i="37"/>
  <c r="H536" i="37"/>
  <c r="F540" i="1"/>
  <c r="E129" i="3"/>
  <c r="B129" i="3" s="1"/>
  <c r="E217" i="3"/>
  <c r="B217" i="3" s="1"/>
  <c r="H494" i="37"/>
  <c r="F471" i="1"/>
  <c r="G456" i="37"/>
  <c r="G446" i="37"/>
  <c r="G442" i="37"/>
  <c r="G420" i="37"/>
  <c r="H415" i="37"/>
  <c r="G411" i="37"/>
  <c r="E87" i="3"/>
  <c r="B87" i="3" s="1"/>
  <c r="H407" i="37"/>
  <c r="H406" i="37"/>
  <c r="G404" i="37"/>
  <c r="F404" i="1"/>
  <c r="G390" i="37"/>
  <c r="H390" i="37"/>
  <c r="H347" i="37"/>
  <c r="H342" i="37"/>
  <c r="F349" i="1"/>
  <c r="H330" i="37"/>
  <c r="G324" i="37"/>
  <c r="H318" i="37"/>
  <c r="H312" i="37"/>
  <c r="G303" i="37"/>
  <c r="E308" i="1"/>
  <c r="D297" i="37" s="1"/>
  <c r="H290" i="37"/>
  <c r="H287" i="37"/>
  <c r="G277" i="37"/>
  <c r="H257" i="37"/>
  <c r="G217" i="37"/>
  <c r="H203" i="37"/>
  <c r="H200" i="37"/>
  <c r="G200" i="37"/>
  <c r="H196" i="37"/>
  <c r="G196" i="37"/>
  <c r="G191" i="37"/>
  <c r="H189" i="37"/>
  <c r="H187" i="37"/>
  <c r="G184" i="37"/>
  <c r="G182" i="37"/>
  <c r="G163" i="37"/>
  <c r="H150" i="37"/>
  <c r="H125" i="37"/>
  <c r="G119" i="37"/>
  <c r="E125" i="1"/>
  <c r="D115" i="37" s="1"/>
  <c r="H113" i="37"/>
  <c r="G98" i="37"/>
  <c r="C1857" i="37"/>
  <c r="H1857" i="37" s="1"/>
  <c r="A1842" i="37"/>
  <c r="F309" i="1"/>
  <c r="F434" i="1"/>
  <c r="F51" i="1"/>
  <c r="E312" i="1"/>
  <c r="D301" i="37"/>
  <c r="F29" i="50"/>
  <c r="G1922" i="37"/>
  <c r="G1906" i="37"/>
  <c r="G1898" i="37"/>
  <c r="H903" i="37"/>
  <c r="F253" i="1"/>
  <c r="F54" i="1"/>
  <c r="E102" i="50"/>
  <c r="D1939" i="37"/>
  <c r="F177" i="27"/>
  <c r="G1916" i="37"/>
  <c r="G1908" i="37"/>
  <c r="G1900" i="37"/>
  <c r="G1753" i="37"/>
  <c r="G1716" i="37"/>
  <c r="G1386" i="37"/>
  <c r="G1378" i="37"/>
  <c r="H1954" i="37"/>
  <c r="H1945" i="37"/>
  <c r="F82" i="36"/>
  <c r="E370" i="1"/>
  <c r="D359" i="37" s="1"/>
  <c r="A1759" i="37"/>
  <c r="G1942" i="37"/>
  <c r="G1918" i="37"/>
  <c r="G1902" i="37"/>
  <c r="G1894" i="37"/>
  <c r="C534" i="37"/>
  <c r="C1890" i="37"/>
  <c r="F316" i="3"/>
  <c r="E316" i="3" s="1"/>
  <c r="B316" i="3" s="1"/>
  <c r="H1926" i="37"/>
  <c r="H1430" i="37"/>
  <c r="H1365" i="37"/>
  <c r="H1353" i="37"/>
  <c r="H1965" i="37"/>
  <c r="H1949" i="37"/>
  <c r="H1937" i="37"/>
  <c r="G1479" i="37"/>
  <c r="I1479" i="37"/>
  <c r="G1466" i="37"/>
  <c r="I1466" i="37"/>
  <c r="G1459" i="37"/>
  <c r="I1459" i="37"/>
  <c r="G1451" i="37"/>
  <c r="I1451" i="37"/>
  <c r="G1449" i="37"/>
  <c r="I1449" i="37"/>
  <c r="H1719" i="37"/>
  <c r="H1710" i="37"/>
  <c r="H1689" i="37"/>
  <c r="H1653" i="37"/>
  <c r="H1621" i="37"/>
  <c r="H1589" i="37"/>
  <c r="H1531" i="37"/>
  <c r="H1346" i="37"/>
  <c r="H1337" i="37"/>
  <c r="H1730" i="37"/>
  <c r="H1369" i="37"/>
  <c r="H884" i="37"/>
  <c r="H876" i="37"/>
  <c r="H689" i="37"/>
  <c r="H654" i="37"/>
  <c r="H623" i="37"/>
  <c r="H463" i="37"/>
  <c r="H161" i="37"/>
  <c r="H123" i="37"/>
  <c r="H87" i="37"/>
  <c r="H919" i="37"/>
  <c r="C1425" i="37"/>
  <c r="F137" i="36"/>
  <c r="F129" i="36"/>
  <c r="G1418" i="37"/>
  <c r="F125" i="36"/>
  <c r="G1401" i="37"/>
  <c r="H1364" i="37"/>
  <c r="G1358" i="37"/>
  <c r="H1355" i="37"/>
  <c r="H1344" i="37"/>
  <c r="H1339" i="37"/>
  <c r="G1333" i="37"/>
  <c r="F43" i="36"/>
  <c r="G1329" i="37"/>
  <c r="H1328" i="37"/>
  <c r="G1321" i="37"/>
  <c r="H1321" i="37"/>
  <c r="H1314" i="37"/>
  <c r="H1307" i="37"/>
  <c r="G1303" i="37"/>
  <c r="G1478" i="37"/>
  <c r="I1478" i="37"/>
  <c r="G1477" i="37"/>
  <c r="E45" i="33"/>
  <c r="K55" i="42"/>
  <c r="D1470" i="37"/>
  <c r="G1475" i="37"/>
  <c r="G1474" i="37"/>
  <c r="H1474" i="37"/>
  <c r="I1474" i="37" s="1"/>
  <c r="G1473" i="37"/>
  <c r="I1473" i="37" s="1"/>
  <c r="G1472" i="37"/>
  <c r="G1468" i="37"/>
  <c r="H1468" i="37"/>
  <c r="I1468" i="37"/>
  <c r="G1467" i="37"/>
  <c r="I1467" i="37" s="1"/>
  <c r="H1465" i="37"/>
  <c r="G1465" i="37"/>
  <c r="I1464" i="37"/>
  <c r="G1463" i="37"/>
  <c r="H1461" i="37"/>
  <c r="I1461" i="37" s="1"/>
  <c r="G1460" i="37"/>
  <c r="I1460" i="37"/>
  <c r="G1458" i="37"/>
  <c r="I1458" i="37" s="1"/>
  <c r="G1457" i="37"/>
  <c r="I1457" i="37"/>
  <c r="G1456" i="37"/>
  <c r="E13" i="33"/>
  <c r="D1438" i="37" s="1"/>
  <c r="H1438" i="37" s="1"/>
  <c r="H1452" i="37"/>
  <c r="G1452" i="37"/>
  <c r="I1452" i="37"/>
  <c r="H1450" i="37"/>
  <c r="I1450" i="37" s="1"/>
  <c r="G1447" i="37"/>
  <c r="I1447" i="37"/>
  <c r="H1445" i="37"/>
  <c r="G1444" i="37"/>
  <c r="I1443" i="37"/>
  <c r="I1442" i="37"/>
  <c r="G1441" i="37"/>
  <c r="I1441" i="37"/>
  <c r="G10" i="3"/>
  <c r="I1465" i="37"/>
  <c r="F11" i="3"/>
  <c r="F14" i="3"/>
  <c r="H1743" i="37"/>
  <c r="H1740" i="37"/>
  <c r="G1737" i="37"/>
  <c r="H1731" i="37"/>
  <c r="H1728" i="37"/>
  <c r="G1726" i="37"/>
  <c r="G1713" i="37"/>
  <c r="H1702" i="37"/>
  <c r="G1702" i="37"/>
  <c r="G1700" i="37"/>
  <c r="H1697" i="37"/>
  <c r="G1697" i="37"/>
  <c r="C1687" i="37"/>
  <c r="H1671" i="37"/>
  <c r="G1671" i="37"/>
  <c r="H1667" i="37"/>
  <c r="G1665" i="37"/>
  <c r="G1663" i="37"/>
  <c r="G1661" i="37"/>
  <c r="H1661" i="37"/>
  <c r="H1659" i="37"/>
  <c r="G1657" i="37"/>
  <c r="H1651" i="37"/>
  <c r="H1645" i="37"/>
  <c r="H1643" i="37"/>
  <c r="H1642" i="37"/>
  <c r="H1640" i="37"/>
  <c r="H1636" i="37"/>
  <c r="H1634" i="37"/>
  <c r="H1632" i="37"/>
  <c r="G1625" i="37"/>
  <c r="H1625" i="37"/>
  <c r="H1622" i="37"/>
  <c r="G1621" i="37"/>
  <c r="H1597" i="37"/>
  <c r="G1591" i="37"/>
  <c r="H1582" i="37"/>
  <c r="H1581" i="37"/>
  <c r="H1577" i="37"/>
  <c r="G1567" i="37"/>
  <c r="G1559" i="37"/>
  <c r="H1558" i="37"/>
  <c r="H1550" i="37"/>
  <c r="G1539" i="37"/>
  <c r="G1533" i="37"/>
  <c r="G1518" i="37"/>
  <c r="F46" i="27"/>
  <c r="G1504" i="37"/>
  <c r="H1498" i="37"/>
  <c r="H1489" i="37"/>
  <c r="G1751" i="37"/>
  <c r="H1751" i="37"/>
  <c r="H1747" i="37"/>
  <c r="G1747" i="37"/>
  <c r="D283" i="27"/>
  <c r="F283" i="27" s="1"/>
  <c r="H1745" i="37"/>
  <c r="G1743" i="37"/>
  <c r="G1739" i="37"/>
  <c r="H1737" i="37"/>
  <c r="H1735" i="37"/>
  <c r="H1733" i="37"/>
  <c r="H1724" i="37"/>
  <c r="H1723" i="37"/>
  <c r="G1723" i="37"/>
  <c r="H1716" i="37"/>
  <c r="H1711" i="37"/>
  <c r="E244" i="3"/>
  <c r="B244" i="3" s="1"/>
  <c r="H1707" i="37"/>
  <c r="G1707" i="37"/>
  <c r="G1701" i="37"/>
  <c r="H1698" i="37"/>
  <c r="F229" i="27"/>
  <c r="H1696" i="37"/>
  <c r="H1684" i="37"/>
  <c r="H1683" i="37"/>
  <c r="F203" i="27"/>
  <c r="H1677" i="37"/>
  <c r="G1669" i="37"/>
  <c r="H1669" i="37"/>
  <c r="E255" i="3"/>
  <c r="B255" i="3" s="1"/>
  <c r="H1665" i="37"/>
  <c r="H1663" i="37"/>
  <c r="H1657" i="37"/>
  <c r="G1652" i="37"/>
  <c r="F170" i="27"/>
  <c r="G1624" i="37"/>
  <c r="G1622" i="37"/>
  <c r="G1619" i="37"/>
  <c r="G1615" i="37"/>
  <c r="H1615" i="37"/>
  <c r="H1614" i="37"/>
  <c r="H1611" i="37"/>
  <c r="G1609" i="37"/>
  <c r="H1606" i="37"/>
  <c r="H1604" i="37"/>
  <c r="H1596" i="37"/>
  <c r="D1585" i="37"/>
  <c r="H1586" i="37"/>
  <c r="G1579" i="37"/>
  <c r="G1578" i="37"/>
  <c r="H1574" i="37"/>
  <c r="E252" i="3"/>
  <c r="B252" i="3" s="1"/>
  <c r="G1569" i="37"/>
  <c r="E248" i="3"/>
  <c r="B248" i="3" s="1"/>
  <c r="H1566" i="37"/>
  <c r="G1565" i="37"/>
  <c r="E246" i="3"/>
  <c r="B246" i="3" s="1"/>
  <c r="H1563" i="37"/>
  <c r="G1561" i="37"/>
  <c r="D1554" i="37"/>
  <c r="H1560" i="37"/>
  <c r="G1558" i="37"/>
  <c r="H1557" i="37"/>
  <c r="G1557" i="37"/>
  <c r="G1555" i="37"/>
  <c r="H1552" i="37"/>
  <c r="H1551" i="37"/>
  <c r="F78" i="27"/>
  <c r="G1551" i="37"/>
  <c r="G1550" i="37"/>
  <c r="G1549" i="37"/>
  <c r="H1536" i="37"/>
  <c r="C1526" i="37"/>
  <c r="G1524" i="37"/>
  <c r="G1521" i="37"/>
  <c r="G1513" i="37"/>
  <c r="G1512" i="37"/>
  <c r="G1508" i="37"/>
  <c r="G1501" i="37"/>
  <c r="G1484" i="37"/>
  <c r="C1301" i="37"/>
  <c r="G1433" i="37"/>
  <c r="G156" i="37"/>
  <c r="C1876" i="37"/>
  <c r="F38" i="50"/>
  <c r="J67" i="42"/>
  <c r="D135" i="37"/>
  <c r="C202" i="37"/>
  <c r="H55" i="37"/>
  <c r="G55" i="37"/>
  <c r="D13" i="33"/>
  <c r="G1471" i="37"/>
  <c r="H389" i="37"/>
  <c r="G426" i="37"/>
  <c r="F154" i="27"/>
  <c r="C439" i="37"/>
  <c r="C1345" i="37"/>
  <c r="F57" i="36"/>
  <c r="G1967" i="37"/>
  <c r="G1679" i="37"/>
  <c r="G1516" i="37"/>
  <c r="G789" i="37"/>
  <c r="G293" i="37"/>
  <c r="H1186" i="37"/>
  <c r="G1182" i="37"/>
  <c r="H1174" i="37"/>
  <c r="H1773" i="37"/>
  <c r="G1688" i="37"/>
  <c r="E38" i="50"/>
  <c r="D1876" i="37" s="1"/>
  <c r="H1876" i="37" s="1"/>
  <c r="D1850" i="37"/>
  <c r="D1890" i="37"/>
  <c r="H1890" i="37" s="1"/>
  <c r="G316" i="3"/>
  <c r="K68" i="42"/>
  <c r="H1515" i="37"/>
  <c r="C1682" i="37"/>
  <c r="F213" i="27"/>
  <c r="G1529" i="37"/>
  <c r="E29" i="33"/>
  <c r="D1454" i="37" s="1"/>
  <c r="G1706" i="37"/>
  <c r="H78" i="37"/>
  <c r="K65" i="42"/>
  <c r="D57" i="37"/>
  <c r="D121" i="36"/>
  <c r="J51" i="42" s="1"/>
  <c r="G1446" i="37"/>
  <c r="F12" i="50"/>
  <c r="C1850" i="37"/>
  <c r="J65" i="42"/>
  <c r="H1868" i="37"/>
  <c r="D1748" i="37"/>
  <c r="E283" i="27"/>
  <c r="D1750" i="37" s="1"/>
  <c r="D354" i="37"/>
  <c r="A1825" i="37"/>
  <c r="A1785" i="37"/>
  <c r="G1966" i="37"/>
  <c r="G1910" i="37"/>
  <c r="A1777" i="37"/>
  <c r="F220" i="1"/>
  <c r="F328" i="1"/>
  <c r="D41" i="37"/>
  <c r="F150" i="1"/>
  <c r="D140" i="37"/>
  <c r="D1425" i="37"/>
  <c r="G1425" i="37" s="1"/>
  <c r="E136" i="36"/>
  <c r="D1410" i="37"/>
  <c r="D1857" i="37"/>
  <c r="G1857" i="37" s="1"/>
  <c r="K66" i="42"/>
  <c r="G1940" i="37"/>
  <c r="C1612" i="37"/>
  <c r="G1869" i="37"/>
  <c r="G1677" i="37"/>
  <c r="G1495" i="37"/>
  <c r="H1923" i="37"/>
  <c r="F303" i="3"/>
  <c r="E303" i="3" s="1"/>
  <c r="B303" i="3" s="1"/>
  <c r="F469" i="1"/>
  <c r="G1771" i="37"/>
  <c r="G1224" i="37"/>
  <c r="G143" i="37"/>
  <c r="G129" i="37"/>
  <c r="G45" i="37"/>
  <c r="H1184" i="37"/>
  <c r="D289" i="27"/>
  <c r="F289" i="27" s="1"/>
  <c r="C1754" i="37"/>
  <c r="F288" i="27"/>
  <c r="G1912" i="37"/>
  <c r="G1865" i="37"/>
  <c r="G1489" i="37"/>
  <c r="G1220" i="37"/>
  <c r="G780" i="37"/>
  <c r="G150" i="37"/>
  <c r="G794" i="37"/>
  <c r="G189" i="37"/>
  <c r="H1966" i="37"/>
  <c r="H1946" i="37"/>
  <c r="H1927" i="37"/>
  <c r="H1925" i="37"/>
  <c r="G1206" i="37"/>
  <c r="H1970" i="37"/>
  <c r="H1962" i="37"/>
  <c r="H1950" i="37"/>
  <c r="H1924" i="37"/>
  <c r="G1469" i="37"/>
  <c r="I1469" i="37"/>
  <c r="G1445" i="37"/>
  <c r="I1445" i="37" s="1"/>
  <c r="H1473" i="37"/>
  <c r="H1739" i="37"/>
  <c r="H1729" i="37"/>
  <c r="H1715" i="37"/>
  <c r="H1708" i="37"/>
  <c r="H1912" i="37"/>
  <c r="H1895" i="37"/>
  <c r="H1869" i="37"/>
  <c r="H1863" i="37"/>
  <c r="H1641" i="37"/>
  <c r="H1564" i="37"/>
  <c r="H1504" i="37"/>
  <c r="H1418" i="37"/>
  <c r="H1386" i="37"/>
  <c r="H1343" i="37"/>
  <c r="H1326" i="37"/>
  <c r="H1303" i="37"/>
  <c r="G397" i="37"/>
  <c r="H1453" i="37"/>
  <c r="H1738" i="37"/>
  <c r="H1725" i="37"/>
  <c r="H1709" i="37"/>
  <c r="H1911" i="37"/>
  <c r="H1894" i="37"/>
  <c r="H1609" i="37"/>
  <c r="H1583" i="37"/>
  <c r="H1556" i="37"/>
  <c r="H1524" i="37"/>
  <c r="H1431" i="37"/>
  <c r="H1422" i="37"/>
  <c r="H1412" i="37"/>
  <c r="H1408" i="37"/>
  <c r="H1380" i="37"/>
  <c r="H1378" i="37"/>
  <c r="H1316" i="37"/>
  <c r="H768" i="37"/>
  <c r="H829" i="37"/>
  <c r="H878" i="37"/>
  <c r="H724" i="37"/>
  <c r="H546" i="37"/>
  <c r="H432" i="37"/>
  <c r="H260" i="37"/>
  <c r="H132" i="37"/>
  <c r="C1438" i="37"/>
  <c r="G1438" i="37" s="1"/>
  <c r="G1850" i="37"/>
  <c r="H1850" i="37"/>
  <c r="K54" i="42"/>
  <c r="K67" i="42"/>
  <c r="G1511" i="37" l="1"/>
  <c r="G1630" i="37"/>
  <c r="H1492" i="37"/>
  <c r="H1752" i="37"/>
  <c r="G1754" i="37"/>
  <c r="G1752" i="37"/>
  <c r="H1754" i="37"/>
  <c r="C1755" i="37"/>
  <c r="H1749" i="37"/>
  <c r="F281" i="27"/>
  <c r="G1745" i="37"/>
  <c r="H1744" i="37"/>
  <c r="C1750" i="37"/>
  <c r="H1750" i="37" s="1"/>
  <c r="G1748" i="37"/>
  <c r="H1748" i="37"/>
  <c r="H1741" i="37"/>
  <c r="E260" i="3"/>
  <c r="B260" i="3" s="1"/>
  <c r="E258" i="3"/>
  <c r="B258" i="3" s="1"/>
  <c r="G1734" i="37"/>
  <c r="G1730" i="37"/>
  <c r="G1729" i="37"/>
  <c r="G1728" i="37"/>
  <c r="E254" i="3"/>
  <c r="B254" i="3" s="1"/>
  <c r="H1727" i="37"/>
  <c r="G1725" i="37"/>
  <c r="G1722" i="37"/>
  <c r="H1722" i="37"/>
  <c r="H1720" i="37"/>
  <c r="G1720" i="37"/>
  <c r="E249" i="3"/>
  <c r="B249" i="3" s="1"/>
  <c r="F274" i="27"/>
  <c r="H1714" i="37"/>
  <c r="E247" i="3"/>
  <c r="B247" i="3" s="1"/>
  <c r="G1711" i="37"/>
  <c r="G1710" i="37"/>
  <c r="E245" i="3"/>
  <c r="B245" i="3" s="1"/>
  <c r="G1709" i="37"/>
  <c r="G1742" i="37"/>
  <c r="H1742" i="37"/>
  <c r="G1704" i="37"/>
  <c r="G1703" i="37"/>
  <c r="E240" i="3"/>
  <c r="B240" i="3" s="1"/>
  <c r="H1700" i="37"/>
  <c r="G1698" i="37"/>
  <c r="H1699" i="37"/>
  <c r="E241" i="3"/>
  <c r="B241" i="3" s="1"/>
  <c r="F225" i="27"/>
  <c r="E239" i="3"/>
  <c r="B239" i="3" s="1"/>
  <c r="H1694" i="37"/>
  <c r="G1694" i="37"/>
  <c r="H1693" i="37"/>
  <c r="G1690" i="37"/>
  <c r="G1691" i="37"/>
  <c r="D217" i="27"/>
  <c r="C1686" i="37" s="1"/>
  <c r="H1690" i="37"/>
  <c r="H1682" i="37"/>
  <c r="G1682" i="37"/>
  <c r="H1680" i="37"/>
  <c r="H1678" i="37"/>
  <c r="G1676" i="37"/>
  <c r="D185" i="27"/>
  <c r="F185" i="27" s="1"/>
  <c r="H1673" i="37"/>
  <c r="G1670" i="37"/>
  <c r="G1664" i="37"/>
  <c r="H1662" i="37"/>
  <c r="G1662" i="37"/>
  <c r="E185" i="27"/>
  <c r="D1654" i="37" s="1"/>
  <c r="G1660" i="37"/>
  <c r="H1658" i="37"/>
  <c r="F186" i="27"/>
  <c r="C1655" i="37"/>
  <c r="H1655" i="37" s="1"/>
  <c r="G1656" i="37"/>
  <c r="G1653" i="37"/>
  <c r="G1650" i="37"/>
  <c r="G1647" i="37"/>
  <c r="C1646" i="37"/>
  <c r="E169" i="27"/>
  <c r="D1638" i="37" s="1"/>
  <c r="G1644" i="37"/>
  <c r="H1644" i="37"/>
  <c r="C1638" i="37"/>
  <c r="G1640" i="37"/>
  <c r="G1639" i="37"/>
  <c r="H1637" i="37"/>
  <c r="G1636" i="37"/>
  <c r="F159" i="27"/>
  <c r="G1633" i="37"/>
  <c r="G1632" i="37"/>
  <c r="H1631" i="37"/>
  <c r="G1628" i="37"/>
  <c r="H1628" i="37"/>
  <c r="G1629" i="37"/>
  <c r="H1629" i="37"/>
  <c r="H1623" i="37"/>
  <c r="G1620" i="37"/>
  <c r="F143" i="27"/>
  <c r="G1612" i="37"/>
  <c r="H1612" i="37"/>
  <c r="G1613" i="37"/>
  <c r="G1611" i="37"/>
  <c r="G1610" i="37"/>
  <c r="C1608" i="37"/>
  <c r="H1608" i="37" s="1"/>
  <c r="G1607" i="37"/>
  <c r="H1605" i="37"/>
  <c r="E131" i="27"/>
  <c r="D1600" i="37" s="1"/>
  <c r="G1603" i="37"/>
  <c r="G1601" i="37"/>
  <c r="H1603" i="37"/>
  <c r="H1602" i="37"/>
  <c r="G1599" i="37"/>
  <c r="H1592" i="37"/>
  <c r="H1593" i="37"/>
  <c r="E115" i="27"/>
  <c r="D1584" i="37" s="1"/>
  <c r="G1592" i="37"/>
  <c r="G1593" i="37"/>
  <c r="H1590" i="37"/>
  <c r="H1587" i="37"/>
  <c r="G1587" i="37"/>
  <c r="D115" i="27"/>
  <c r="G1583" i="37"/>
  <c r="G1581" i="37"/>
  <c r="H1580" i="37"/>
  <c r="E84" i="27"/>
  <c r="D1553" i="37" s="1"/>
  <c r="G1580" i="37"/>
  <c r="G1576" i="37"/>
  <c r="H1576" i="37"/>
  <c r="H1575" i="37"/>
  <c r="G1574" i="37"/>
  <c r="H1572" i="37"/>
  <c r="G1572" i="37"/>
  <c r="F103" i="27"/>
  <c r="G1573" i="37"/>
  <c r="E253" i="3"/>
  <c r="B253" i="3" s="1"/>
  <c r="H1570" i="37"/>
  <c r="G1570" i="37"/>
  <c r="E251" i="3"/>
  <c r="B251" i="3" s="1"/>
  <c r="H1569" i="37"/>
  <c r="H1554" i="37"/>
  <c r="F85" i="27"/>
  <c r="G1554" i="37"/>
  <c r="D84" i="27"/>
  <c r="H1547" i="37"/>
  <c r="G1546" i="37"/>
  <c r="H1543" i="37"/>
  <c r="G1540" i="37"/>
  <c r="G1537" i="37"/>
  <c r="H1538" i="37"/>
  <c r="G1535" i="37"/>
  <c r="G1534" i="37"/>
  <c r="F61" i="27"/>
  <c r="F57" i="27"/>
  <c r="H1527" i="37"/>
  <c r="G1525" i="37"/>
  <c r="H1525" i="37"/>
  <c r="H1522" i="37"/>
  <c r="G1520" i="37"/>
  <c r="H1518" i="37"/>
  <c r="H1517" i="37"/>
  <c r="G1515" i="37"/>
  <c r="H1514" i="37"/>
  <c r="H1513" i="37"/>
  <c r="G1510" i="37"/>
  <c r="H1507" i="37"/>
  <c r="H1505" i="37"/>
  <c r="C1503" i="37"/>
  <c r="G1499" i="37"/>
  <c r="H1499" i="37"/>
  <c r="H1497" i="37"/>
  <c r="G1497" i="37"/>
  <c r="G1494" i="37"/>
  <c r="H1495" i="37"/>
  <c r="G1492" i="37"/>
  <c r="H1491" i="37"/>
  <c r="F19" i="27"/>
  <c r="G1490" i="37"/>
  <c r="G1486" i="37"/>
  <c r="H1485" i="37"/>
  <c r="F14" i="27"/>
  <c r="C1483" i="37"/>
  <c r="H1484" i="37"/>
  <c r="G1297" i="37"/>
  <c r="G1293" i="37"/>
  <c r="G1289" i="37"/>
  <c r="G1288" i="37"/>
  <c r="G1285" i="37"/>
  <c r="G1277" i="37"/>
  <c r="G1272" i="37"/>
  <c r="G1268" i="37"/>
  <c r="G1264" i="37"/>
  <c r="G1259" i="37"/>
  <c r="G1258" i="37"/>
  <c r="G1240" i="37"/>
  <c r="G1236" i="37"/>
  <c r="G1228" i="37"/>
  <c r="B299" i="3"/>
  <c r="G1146" i="37"/>
  <c r="G1136" i="37"/>
  <c r="G1113" i="37"/>
  <c r="G1104" i="37"/>
  <c r="G1099" i="37"/>
  <c r="G1098" i="37"/>
  <c r="G1091" i="37"/>
  <c r="G1089" i="37"/>
  <c r="G1068" i="37"/>
  <c r="G1056" i="37"/>
  <c r="G1034" i="37"/>
  <c r="G1032" i="37"/>
  <c r="G1023" i="37"/>
  <c r="G985" i="37"/>
  <c r="G981" i="37"/>
  <c r="G965" i="37"/>
  <c r="G927" i="37"/>
  <c r="G907" i="37"/>
  <c r="L11" i="3"/>
  <c r="G7" i="3"/>
  <c r="G955" i="37"/>
  <c r="G939" i="37"/>
  <c r="H1435" i="37"/>
  <c r="H1429" i="37"/>
  <c r="G1429" i="37"/>
  <c r="H1427" i="37"/>
  <c r="F136" i="36"/>
  <c r="H1425" i="37"/>
  <c r="H1423" i="37"/>
  <c r="G1421" i="37"/>
  <c r="H1419" i="37"/>
  <c r="E121" i="36"/>
  <c r="D1409" i="37" s="1"/>
  <c r="H1417" i="37"/>
  <c r="H1416" i="37"/>
  <c r="G1415" i="37"/>
  <c r="H1415" i="37"/>
  <c r="G1413" i="37"/>
  <c r="H1411" i="37"/>
  <c r="F122" i="36"/>
  <c r="H1405" i="37"/>
  <c r="H1403" i="37"/>
  <c r="H1401" i="37"/>
  <c r="H1398" i="37"/>
  <c r="G1397" i="37"/>
  <c r="H1396" i="37"/>
  <c r="F106" i="36"/>
  <c r="G1396" i="37"/>
  <c r="H1393" i="37"/>
  <c r="G1392" i="37"/>
  <c r="H1391" i="37"/>
  <c r="D96" i="36"/>
  <c r="C1384" i="37" s="1"/>
  <c r="G1389" i="37"/>
  <c r="F101" i="36"/>
  <c r="H1390" i="37"/>
  <c r="G1385" i="37"/>
  <c r="G1387" i="37"/>
  <c r="G1383" i="37"/>
  <c r="H1382" i="37"/>
  <c r="G1380" i="37"/>
  <c r="H1379" i="37"/>
  <c r="G1379" i="37"/>
  <c r="G1377" i="37"/>
  <c r="H1376" i="37"/>
  <c r="H1375" i="37"/>
  <c r="G1372" i="37"/>
  <c r="G1370" i="37"/>
  <c r="H1370" i="37"/>
  <c r="G1368" i="37"/>
  <c r="G1361" i="37"/>
  <c r="G1362" i="37"/>
  <c r="F73" i="36"/>
  <c r="F68" i="36"/>
  <c r="G1359" i="37"/>
  <c r="H1359" i="37"/>
  <c r="G1357" i="37"/>
  <c r="H1349" i="37"/>
  <c r="G1351" i="37"/>
  <c r="F61" i="36"/>
  <c r="G1349" i="37"/>
  <c r="G1350" i="37"/>
  <c r="H1348" i="37"/>
  <c r="G1347" i="37"/>
  <c r="F50" i="36"/>
  <c r="G1342" i="37"/>
  <c r="H1342" i="37"/>
  <c r="H1341" i="37"/>
  <c r="H1338" i="37"/>
  <c r="G1338" i="37"/>
  <c r="H1334" i="37"/>
  <c r="H1335" i="37"/>
  <c r="H1333" i="37"/>
  <c r="G1331" i="37"/>
  <c r="H1327" i="37"/>
  <c r="H1325" i="37"/>
  <c r="G1322" i="37"/>
  <c r="G1320" i="37"/>
  <c r="C1317" i="37"/>
  <c r="H1317" i="37" s="1"/>
  <c r="G1318" i="37"/>
  <c r="H1318" i="37"/>
  <c r="H1315" i="37"/>
  <c r="G1315" i="37"/>
  <c r="G1314" i="37"/>
  <c r="G1313" i="37"/>
  <c r="G1311" i="37"/>
  <c r="F20" i="36"/>
  <c r="G1309" i="37"/>
  <c r="C1305" i="37"/>
  <c r="D12" i="36"/>
  <c r="G1291" i="37"/>
  <c r="G1282" i="37"/>
  <c r="G1278" i="37"/>
  <c r="G1249" i="37"/>
  <c r="G1245" i="37"/>
  <c r="G1241" i="37"/>
  <c r="G1237" i="37"/>
  <c r="G1229" i="37"/>
  <c r="G1219" i="37"/>
  <c r="G1214" i="37"/>
  <c r="G1204" i="37"/>
  <c r="G1202" i="37"/>
  <c r="G1192" i="37"/>
  <c r="G1191" i="37"/>
  <c r="G1185" i="37"/>
  <c r="G1181" i="37"/>
  <c r="G1177" i="37"/>
  <c r="G1176" i="37"/>
  <c r="G1173" i="37"/>
  <c r="G1164" i="37"/>
  <c r="G1160" i="37"/>
  <c r="G1144" i="37"/>
  <c r="G1093" i="37"/>
  <c r="G1082" i="37"/>
  <c r="G1070" i="37"/>
  <c r="H1068" i="37"/>
  <c r="G1063" i="37"/>
  <c r="G1062" i="37"/>
  <c r="G1052" i="37"/>
  <c r="G1043" i="37"/>
  <c r="G1039" i="37"/>
  <c r="G1012" i="37"/>
  <c r="G1011" i="37"/>
  <c r="G1007" i="37"/>
  <c r="G1001" i="37"/>
  <c r="G996" i="37"/>
  <c r="G958" i="37"/>
  <c r="G953" i="37"/>
  <c r="G951" i="37"/>
  <c r="G945" i="37"/>
  <c r="G936" i="37"/>
  <c r="G928" i="37"/>
  <c r="G921" i="37"/>
  <c r="G902" i="37"/>
  <c r="G1782" i="37"/>
  <c r="H14" i="3"/>
  <c r="G1830" i="37"/>
  <c r="G1810" i="37"/>
  <c r="G1797" i="37"/>
  <c r="G1789" i="37"/>
  <c r="G1765" i="37"/>
  <c r="G892" i="37"/>
  <c r="G883" i="37"/>
  <c r="G873" i="37"/>
  <c r="G862" i="37"/>
  <c r="H860" i="37"/>
  <c r="H858" i="37"/>
  <c r="G857" i="37"/>
  <c r="G854" i="37"/>
  <c r="H852" i="37"/>
  <c r="H851" i="37"/>
  <c r="E233" i="3"/>
  <c r="B233" i="3" s="1"/>
  <c r="G846" i="37"/>
  <c r="G844" i="37"/>
  <c r="H836" i="37"/>
  <c r="H830" i="37"/>
  <c r="G824" i="37"/>
  <c r="H822" i="37"/>
  <c r="G805" i="37"/>
  <c r="G804" i="37"/>
  <c r="G802" i="37"/>
  <c r="G799" i="37"/>
  <c r="G797" i="37"/>
  <c r="G793" i="37"/>
  <c r="G786" i="37"/>
  <c r="H786" i="37"/>
  <c r="G781" i="37"/>
  <c r="G777" i="37"/>
  <c r="G775" i="37"/>
  <c r="G773" i="37"/>
  <c r="H771" i="37"/>
  <c r="H765" i="37"/>
  <c r="G764" i="37"/>
  <c r="H763" i="37"/>
  <c r="H761" i="37"/>
  <c r="H759" i="37"/>
  <c r="G755" i="37"/>
  <c r="G751" i="37"/>
  <c r="G749" i="37"/>
  <c r="G746" i="37"/>
  <c r="G745" i="37"/>
  <c r="G743" i="37"/>
  <c r="H739" i="37"/>
  <c r="H737" i="37"/>
  <c r="G729" i="37"/>
  <c r="H728" i="37"/>
  <c r="G726" i="37"/>
  <c r="G716" i="37"/>
  <c r="G711" i="37"/>
  <c r="H709" i="37"/>
  <c r="H695" i="37"/>
  <c r="G693" i="37"/>
  <c r="H685" i="37"/>
  <c r="H682" i="37"/>
  <c r="G681" i="37"/>
  <c r="G679" i="37"/>
  <c r="G678" i="37"/>
  <c r="G677" i="37"/>
  <c r="G676" i="37"/>
  <c r="G675" i="37"/>
  <c r="H675" i="37"/>
  <c r="H672" i="37"/>
  <c r="G668" i="37"/>
  <c r="H666" i="37"/>
  <c r="H662" i="37"/>
  <c r="H659" i="37"/>
  <c r="H647" i="37"/>
  <c r="H639" i="37"/>
  <c r="G637" i="37"/>
  <c r="H631" i="37"/>
  <c r="G614" i="37"/>
  <c r="H612" i="37"/>
  <c r="H609" i="37"/>
  <c r="H607" i="37"/>
  <c r="H598" i="37"/>
  <c r="F601" i="1"/>
  <c r="H590" i="37"/>
  <c r="G590" i="37"/>
  <c r="G582" i="37"/>
  <c r="G581" i="37"/>
  <c r="H579" i="37"/>
  <c r="E234" i="3"/>
  <c r="B234" i="3" s="1"/>
  <c r="H574" i="37"/>
  <c r="G569" i="37"/>
  <c r="H564" i="37"/>
  <c r="G561" i="37"/>
  <c r="G558" i="37"/>
  <c r="G556" i="37"/>
  <c r="G548" i="37"/>
  <c r="H544" i="37"/>
  <c r="H542" i="37"/>
  <c r="C537" i="37"/>
  <c r="G538" i="37"/>
  <c r="G535" i="37"/>
  <c r="G533" i="37"/>
  <c r="H532" i="37"/>
  <c r="G526" i="37"/>
  <c r="G524" i="37"/>
  <c r="H520" i="37"/>
  <c r="H515" i="37"/>
  <c r="G515" i="37"/>
  <c r="G512" i="37"/>
  <c r="H509" i="37"/>
  <c r="E124" i="3"/>
  <c r="B124" i="3" s="1"/>
  <c r="G504" i="37"/>
  <c r="H504" i="37"/>
  <c r="G502" i="37"/>
  <c r="H500" i="37"/>
  <c r="H497" i="37"/>
  <c r="H487" i="37"/>
  <c r="H484" i="37"/>
  <c r="F494" i="1"/>
  <c r="H481" i="37"/>
  <c r="H475" i="37"/>
  <c r="H469" i="37"/>
  <c r="H464" i="37"/>
  <c r="E106" i="3"/>
  <c r="B106" i="3" s="1"/>
  <c r="H457" i="37"/>
  <c r="H456" i="37"/>
  <c r="G454" i="37"/>
  <c r="H451" i="37"/>
  <c r="H449" i="37"/>
  <c r="H424" i="37"/>
  <c r="H412" i="37"/>
  <c r="F420" i="1"/>
  <c r="E86" i="3"/>
  <c r="B86" i="3" s="1"/>
  <c r="E84" i="3"/>
  <c r="B84" i="3" s="1"/>
  <c r="G403" i="37"/>
  <c r="E82" i="3"/>
  <c r="B82" i="3" s="1"/>
  <c r="E78" i="3"/>
  <c r="B78" i="3" s="1"/>
  <c r="G388" i="37"/>
  <c r="H388" i="37"/>
  <c r="F382" i="1"/>
  <c r="H370" i="37"/>
  <c r="F378" i="1"/>
  <c r="G344" i="37"/>
  <c r="F344" i="1"/>
  <c r="G334" i="37"/>
  <c r="H329" i="37"/>
  <c r="H324" i="37"/>
  <c r="G314" i="37"/>
  <c r="F317" i="1"/>
  <c r="G307" i="37"/>
  <c r="C302" i="37"/>
  <c r="D308" i="1"/>
  <c r="C297" i="37" s="1"/>
  <c r="G300" i="37"/>
  <c r="G299" i="37"/>
  <c r="F308" i="1"/>
  <c r="H294" i="37"/>
  <c r="G288" i="37"/>
  <c r="G282" i="37"/>
  <c r="H273" i="37"/>
  <c r="G261" i="37"/>
  <c r="H261" i="37"/>
  <c r="G248" i="37"/>
  <c r="H241" i="37"/>
  <c r="H233" i="37"/>
  <c r="H230" i="37"/>
  <c r="H215" i="37"/>
  <c r="H195" i="37"/>
  <c r="G195" i="37"/>
  <c r="G188" i="37"/>
  <c r="G154" i="37"/>
  <c r="G153" i="37"/>
  <c r="G123" i="37"/>
  <c r="E118" i="1"/>
  <c r="D108" i="37" s="1"/>
  <c r="D109" i="37"/>
  <c r="H94" i="37"/>
  <c r="H90" i="37"/>
  <c r="H88" i="37"/>
  <c r="H84" i="37"/>
  <c r="G81" i="37"/>
  <c r="G73" i="37"/>
  <c r="H67" i="37"/>
  <c r="H64" i="37"/>
  <c r="G64" i="37"/>
  <c r="H63" i="37"/>
  <c r="G54" i="37"/>
  <c r="E50" i="1"/>
  <c r="D40" i="37" s="1"/>
  <c r="H37" i="37"/>
  <c r="G37" i="37"/>
  <c r="H31" i="37"/>
  <c r="H27" i="37"/>
  <c r="H26" i="37"/>
  <c r="G21" i="37"/>
  <c r="H12" i="37"/>
  <c r="G8" i="37"/>
  <c r="H6" i="37"/>
  <c r="G5" i="37"/>
  <c r="B7" i="33"/>
  <c r="G1116" i="37"/>
  <c r="A1840" i="37"/>
  <c r="A1795" i="37"/>
  <c r="A1793" i="37"/>
  <c r="A1775" i="37"/>
  <c r="A1796" i="37"/>
  <c r="A1792" i="37"/>
  <c r="A1778" i="37"/>
  <c r="A1824" i="37"/>
  <c r="A1839" i="37"/>
  <c r="A1765" i="37"/>
  <c r="A1772" i="37"/>
  <c r="A1815" i="37"/>
  <c r="A1800" i="37"/>
  <c r="A1836" i="37"/>
  <c r="A1821" i="37"/>
  <c r="A1804" i="37"/>
  <c r="A1826" i="37"/>
  <c r="A1774" i="37"/>
  <c r="A1790" i="37"/>
  <c r="A1797" i="37"/>
  <c r="A1814" i="37"/>
  <c r="A1771" i="37"/>
  <c r="A1789" i="37"/>
  <c r="H175" i="37"/>
  <c r="H653" i="37"/>
  <c r="G651" i="37"/>
  <c r="G1836" i="37"/>
  <c r="G1835" i="37"/>
  <c r="G1801" i="37"/>
  <c r="G1794" i="37"/>
  <c r="G1784" i="37"/>
  <c r="G1780" i="37"/>
  <c r="G1772" i="37"/>
  <c r="G1756" i="37"/>
  <c r="B7" i="36"/>
  <c r="B7" i="1"/>
  <c r="G1261" i="37"/>
  <c r="G1260" i="37"/>
  <c r="G1256" i="37"/>
  <c r="G1253" i="37"/>
  <c r="G1246" i="37"/>
  <c r="G1223" i="37"/>
  <c r="G1218" i="37"/>
  <c r="G1211" i="37"/>
  <c r="G1208" i="37"/>
  <c r="G1203" i="37"/>
  <c r="G1199" i="37"/>
  <c r="G1196" i="37"/>
  <c r="G1184" i="37"/>
  <c r="G1167" i="37"/>
  <c r="G1150" i="37"/>
  <c r="G1147" i="37"/>
  <c r="G1145" i="37"/>
  <c r="G1141" i="37"/>
  <c r="G1133" i="37"/>
  <c r="G1131" i="37"/>
  <c r="G1128" i="37"/>
  <c r="G1123" i="37"/>
  <c r="G1120" i="37"/>
  <c r="G1111" i="37"/>
  <c r="G1079" i="37"/>
  <c r="G1072" i="37"/>
  <c r="H1072" i="37"/>
  <c r="G1073" i="37"/>
  <c r="G1066" i="37"/>
  <c r="G1061" i="37"/>
  <c r="G1057" i="37"/>
  <c r="G1055" i="37"/>
  <c r="G1053" i="37"/>
  <c r="G1051" i="37"/>
  <c r="G1038" i="37"/>
  <c r="G1030" i="37"/>
  <c r="G1016" i="37"/>
  <c r="G1015" i="37"/>
  <c r="G1005" i="37"/>
  <c r="G988" i="37"/>
  <c r="G987" i="37"/>
  <c r="G986" i="37"/>
  <c r="D86" i="39"/>
  <c r="C975" i="37" s="1"/>
  <c r="G975" i="37" s="1"/>
  <c r="G969" i="37"/>
  <c r="G961" i="37"/>
  <c r="G950" i="37"/>
  <c r="G944" i="37"/>
  <c r="G941" i="37"/>
  <c r="G905" i="37"/>
  <c r="G872" i="37"/>
  <c r="G866" i="37"/>
  <c r="H861" i="37"/>
  <c r="G858" i="37"/>
  <c r="E157" i="3"/>
  <c r="B157" i="3" s="1"/>
  <c r="H846" i="37"/>
  <c r="E231" i="3"/>
  <c r="B231" i="3" s="1"/>
  <c r="H844" i="37"/>
  <c r="G840" i="37"/>
  <c r="H834" i="37"/>
  <c r="G832" i="37"/>
  <c r="H828" i="37"/>
  <c r="H826" i="37"/>
  <c r="H818" i="37"/>
  <c r="G811" i="37"/>
  <c r="H810" i="37"/>
  <c r="H808" i="37"/>
  <c r="G807" i="37"/>
  <c r="H802" i="37"/>
  <c r="H799" i="37"/>
  <c r="H797" i="37"/>
  <c r="G795" i="37"/>
  <c r="H789" i="37"/>
  <c r="H783" i="37"/>
  <c r="H762" i="37"/>
  <c r="G761" i="37"/>
  <c r="G750" i="37"/>
  <c r="H745" i="37"/>
  <c r="E83" i="3"/>
  <c r="B83" i="3" s="1"/>
  <c r="G741" i="37"/>
  <c r="H722" i="37"/>
  <c r="E190" i="3"/>
  <c r="B190" i="3" s="1"/>
  <c r="H720" i="37"/>
  <c r="H708" i="37"/>
  <c r="G705" i="37"/>
  <c r="H704" i="37"/>
  <c r="H702" i="37"/>
  <c r="G696" i="37"/>
  <c r="H694" i="37"/>
  <c r="H656" i="37"/>
  <c r="G656" i="37"/>
  <c r="H650" i="37"/>
  <c r="E50" i="3"/>
  <c r="B50" i="3" s="1"/>
  <c r="G645" i="37"/>
  <c r="H635" i="37"/>
  <c r="E46" i="3"/>
  <c r="B46" i="3" s="1"/>
  <c r="G631" i="37"/>
  <c r="E44" i="3"/>
  <c r="B44" i="3" s="1"/>
  <c r="H625" i="37"/>
  <c r="G609" i="37"/>
  <c r="H594" i="37"/>
  <c r="H584" i="37"/>
  <c r="H582" i="37"/>
  <c r="H575" i="37"/>
  <c r="E227" i="3"/>
  <c r="B227" i="3" s="1"/>
  <c r="E137" i="3"/>
  <c r="B137" i="3" s="1"/>
  <c r="F562" i="1"/>
  <c r="F559" i="1"/>
  <c r="G546" i="37"/>
  <c r="G545" i="37"/>
  <c r="G544" i="37"/>
  <c r="G543" i="37"/>
  <c r="G529" i="37"/>
  <c r="H526" i="37"/>
  <c r="H524" i="37"/>
  <c r="H522" i="37"/>
  <c r="G522" i="37"/>
  <c r="G520" i="37"/>
  <c r="E126" i="3"/>
  <c r="B126" i="3" s="1"/>
  <c r="H505" i="37"/>
  <c r="F517" i="1"/>
  <c r="H501" i="37"/>
  <c r="G500" i="37"/>
  <c r="F510" i="1"/>
  <c r="G499" i="37"/>
  <c r="G497" i="37"/>
  <c r="G487" i="37"/>
  <c r="H486" i="37"/>
  <c r="G484" i="37"/>
  <c r="G475" i="37"/>
  <c r="H470" i="37"/>
  <c r="H468" i="37"/>
  <c r="G467" i="37"/>
  <c r="G465" i="37"/>
  <c r="G462" i="37"/>
  <c r="H460" i="37"/>
  <c r="E99" i="3"/>
  <c r="B99" i="3" s="1"/>
  <c r="C448" i="37"/>
  <c r="G448" i="37" s="1"/>
  <c r="G449" i="37"/>
  <c r="H446" i="37"/>
  <c r="H437" i="37"/>
  <c r="H430" i="37"/>
  <c r="G424" i="37"/>
  <c r="H423" i="37"/>
  <c r="H418" i="37"/>
  <c r="G417" i="37"/>
  <c r="H417" i="37"/>
  <c r="H416" i="37"/>
  <c r="H414" i="37"/>
  <c r="G414" i="37"/>
  <c r="G410" i="37"/>
  <c r="G409" i="37"/>
  <c r="G407" i="37"/>
  <c r="H403" i="37"/>
  <c r="G400" i="37"/>
  <c r="H400" i="37"/>
  <c r="G398" i="37"/>
  <c r="E194" i="3"/>
  <c r="B194" i="3" s="1"/>
  <c r="H396" i="37"/>
  <c r="G396" i="37"/>
  <c r="H394" i="37"/>
  <c r="G391" i="37"/>
  <c r="G377" i="37"/>
  <c r="H356" i="37"/>
  <c r="H349" i="37"/>
  <c r="G347" i="37"/>
  <c r="H344" i="37"/>
  <c r="G342" i="37"/>
  <c r="G341" i="37"/>
  <c r="G339" i="37"/>
  <c r="H339" i="37"/>
  <c r="G336" i="37"/>
  <c r="H335" i="37"/>
  <c r="H331" i="37"/>
  <c r="G326" i="37"/>
  <c r="G323" i="37"/>
  <c r="G321" i="37"/>
  <c r="H303" i="37"/>
  <c r="D312" i="1"/>
  <c r="F312" i="1" s="1"/>
  <c r="H299" i="37"/>
  <c r="H296" i="37"/>
  <c r="G294" i="37"/>
  <c r="G291" i="37"/>
  <c r="G286" i="37"/>
  <c r="H282" i="37"/>
  <c r="G274" i="37"/>
  <c r="G269" i="37"/>
  <c r="D264" i="1"/>
  <c r="F264" i="1" s="1"/>
  <c r="H256" i="37"/>
  <c r="G251" i="37"/>
  <c r="G249" i="37"/>
  <c r="H239" i="37"/>
  <c r="H235" i="37"/>
  <c r="G233" i="37"/>
  <c r="G230" i="37"/>
  <c r="H228" i="37"/>
  <c r="G227" i="37"/>
  <c r="E189" i="3"/>
  <c r="B189" i="3" s="1"/>
  <c r="H214" i="37"/>
  <c r="G208" i="37"/>
  <c r="F217" i="1"/>
  <c r="H205" i="37"/>
  <c r="G204" i="37"/>
  <c r="G201" i="37"/>
  <c r="E64" i="3"/>
  <c r="B64" i="3" s="1"/>
  <c r="H186" i="37"/>
  <c r="G186" i="37"/>
  <c r="H182" i="37"/>
  <c r="H178" i="37"/>
  <c r="G177" i="37"/>
  <c r="C170" i="37"/>
  <c r="G170" i="37" s="1"/>
  <c r="G168" i="37"/>
  <c r="G167" i="37"/>
  <c r="G166" i="37"/>
  <c r="H163" i="37"/>
  <c r="G161" i="37"/>
  <c r="H159" i="37"/>
  <c r="H157" i="37"/>
  <c r="H156" i="37"/>
  <c r="G155" i="37"/>
  <c r="G151" i="37"/>
  <c r="E176" i="3"/>
  <c r="B176" i="3" s="1"/>
  <c r="H149" i="37"/>
  <c r="G148" i="37"/>
  <c r="G118" i="37"/>
  <c r="H114" i="37"/>
  <c r="H111" i="37"/>
  <c r="F119" i="1"/>
  <c r="G107" i="37"/>
  <c r="G105" i="37"/>
  <c r="G100" i="37"/>
  <c r="H98" i="37"/>
  <c r="G95" i="37"/>
  <c r="H82" i="37"/>
  <c r="G79" i="37"/>
  <c r="H72" i="37"/>
  <c r="H71" i="37"/>
  <c r="G70" i="37"/>
  <c r="H60" i="37"/>
  <c r="G59" i="37"/>
  <c r="G56" i="37"/>
  <c r="G51" i="37"/>
  <c r="H50" i="37"/>
  <c r="G43" i="37"/>
  <c r="H42" i="37"/>
  <c r="F46" i="1"/>
  <c r="G35" i="37"/>
  <c r="G31" i="37"/>
  <c r="G30" i="37"/>
  <c r="H28" i="37"/>
  <c r="G24" i="37"/>
  <c r="H22" i="37"/>
  <c r="H21" i="37"/>
  <c r="G18" i="37"/>
  <c r="G16" i="37"/>
  <c r="H15" i="37"/>
  <c r="G11" i="37"/>
  <c r="G10" i="37"/>
  <c r="H9" i="37"/>
  <c r="G9" i="37"/>
  <c r="G7" i="37"/>
  <c r="F14" i="1"/>
  <c r="G1194" i="37"/>
  <c r="G1838" i="37"/>
  <c r="G1847" i="37"/>
  <c r="A1846" i="37"/>
  <c r="A1818" i="37"/>
  <c r="A1764" i="37"/>
  <c r="A1813" i="37"/>
  <c r="A1837" i="37"/>
  <c r="A1823" i="37"/>
  <c r="A1780" i="37"/>
  <c r="A1845" i="37"/>
  <c r="A1766" i="37"/>
  <c r="A1807" i="37"/>
  <c r="B7" i="50"/>
  <c r="G1843" i="37"/>
  <c r="G1834" i="37"/>
  <c r="G1833" i="37"/>
  <c r="G1826" i="37"/>
  <c r="G1825" i="37"/>
  <c r="G1823" i="37"/>
  <c r="G1821" i="37"/>
  <c r="G1820" i="37"/>
  <c r="G1816" i="37"/>
  <c r="G1806" i="37"/>
  <c r="G1802" i="37"/>
  <c r="G1800" i="37"/>
  <c r="G1783" i="37"/>
  <c r="G1779" i="37"/>
  <c r="G1770" i="37"/>
  <c r="G1767" i="37"/>
  <c r="G1758" i="37"/>
  <c r="H10" i="3"/>
  <c r="F17" i="3"/>
  <c r="F8" i="3"/>
  <c r="G11" i="3"/>
  <c r="G13" i="3"/>
  <c r="H8" i="3"/>
  <c r="J15" i="3"/>
  <c r="L9" i="3"/>
  <c r="H7" i="3"/>
  <c r="G15" i="3"/>
  <c r="H13" i="3"/>
  <c r="J11" i="3"/>
  <c r="F5" i="3"/>
  <c r="L8" i="3"/>
  <c r="J8" i="3"/>
  <c r="H12" i="3"/>
  <c r="G9" i="3"/>
  <c r="L13" i="3"/>
  <c r="J13" i="3"/>
  <c r="G1292" i="37"/>
  <c r="G1276" i="37"/>
  <c r="G1275" i="37"/>
  <c r="G1271" i="37"/>
  <c r="G1255" i="37"/>
  <c r="G1251" i="37"/>
  <c r="G1247" i="37"/>
  <c r="G1244" i="37"/>
  <c r="G1243" i="37"/>
  <c r="G1235" i="37"/>
  <c r="G1233" i="37"/>
  <c r="G1231" i="37"/>
  <c r="G1230" i="37"/>
  <c r="G1226" i="37"/>
  <c r="G1215" i="37"/>
  <c r="G1212" i="37"/>
  <c r="G1207" i="37"/>
  <c r="G1195" i="37"/>
  <c r="G1188" i="37"/>
  <c r="G1187" i="37"/>
  <c r="G1180" i="37"/>
  <c r="G1179" i="37"/>
  <c r="G1172" i="37"/>
  <c r="G1157" i="37"/>
  <c r="G1155" i="37"/>
  <c r="G1154" i="37"/>
  <c r="G1149" i="37"/>
  <c r="G1140" i="37"/>
  <c r="G1139" i="37"/>
  <c r="G1114" i="37"/>
  <c r="G1110" i="37"/>
  <c r="G1105" i="37"/>
  <c r="G1103" i="37"/>
  <c r="C1081" i="37"/>
  <c r="H1081" i="37" s="1"/>
  <c r="G1076" i="37"/>
  <c r="G1049" i="37"/>
  <c r="G1048" i="37"/>
  <c r="G1047" i="37"/>
  <c r="G1042" i="37"/>
  <c r="G1037" i="37"/>
  <c r="G1036" i="37"/>
  <c r="G1033" i="37"/>
  <c r="G1021" i="37"/>
  <c r="H1014" i="37"/>
  <c r="G1017" i="37"/>
  <c r="G1008" i="37"/>
  <c r="H1003" i="37"/>
  <c r="D106" i="39"/>
  <c r="C995" i="37" s="1"/>
  <c r="H995" i="37" s="1"/>
  <c r="H999" i="37"/>
  <c r="G1000" i="37"/>
  <c r="G998" i="37"/>
  <c r="G994" i="37"/>
  <c r="C979" i="37"/>
  <c r="H979" i="37" s="1"/>
  <c r="G980" i="37"/>
  <c r="G977" i="37"/>
  <c r="G971" i="37"/>
  <c r="G964" i="37"/>
  <c r="G940" i="37"/>
  <c r="G932" i="37"/>
  <c r="G931" i="37"/>
  <c r="G920" i="37"/>
  <c r="G915" i="37"/>
  <c r="G908" i="37"/>
  <c r="G904" i="37"/>
  <c r="H900" i="37"/>
  <c r="G898" i="37"/>
  <c r="H896" i="37"/>
  <c r="H894" i="37"/>
  <c r="G890" i="37"/>
  <c r="G888" i="37"/>
  <c r="G874" i="37"/>
  <c r="G870" i="37"/>
  <c r="E235" i="3"/>
  <c r="B235" i="3" s="1"/>
  <c r="H862" i="37"/>
  <c r="H859" i="37"/>
  <c r="H856" i="37"/>
  <c r="H854" i="37"/>
  <c r="H853" i="37"/>
  <c r="H849" i="37"/>
  <c r="E151" i="3"/>
  <c r="B151" i="3" s="1"/>
  <c r="H843" i="37"/>
  <c r="H842" i="37"/>
  <c r="G842" i="37"/>
  <c r="H841" i="37"/>
  <c r="G839" i="37"/>
  <c r="E143" i="3"/>
  <c r="B143" i="3" s="1"/>
  <c r="G834" i="37"/>
  <c r="E224" i="3"/>
  <c r="B224" i="3" s="1"/>
  <c r="G830" i="37"/>
  <c r="E139" i="3"/>
  <c r="B139" i="3" s="1"/>
  <c r="G828" i="37"/>
  <c r="H827" i="37"/>
  <c r="G826" i="37"/>
  <c r="H825" i="37"/>
  <c r="G822" i="37"/>
  <c r="H821" i="37"/>
  <c r="G820" i="37"/>
  <c r="E133" i="3"/>
  <c r="B133" i="3" s="1"/>
  <c r="H816" i="37"/>
  <c r="G812" i="37"/>
  <c r="H809" i="37"/>
  <c r="E125" i="3"/>
  <c r="B125" i="3" s="1"/>
  <c r="H804" i="37"/>
  <c r="E123" i="3"/>
  <c r="B123" i="3" s="1"/>
  <c r="E121" i="3"/>
  <c r="B121" i="3" s="1"/>
  <c r="H801" i="37"/>
  <c r="E119" i="3"/>
  <c r="B119" i="3" s="1"/>
  <c r="G796" i="37"/>
  <c r="H794" i="37"/>
  <c r="G792" i="37"/>
  <c r="H791" i="37"/>
  <c r="G790" i="37"/>
  <c r="H788" i="37"/>
  <c r="H785" i="37"/>
  <c r="H784" i="37"/>
  <c r="E109" i="3"/>
  <c r="B109" i="3" s="1"/>
  <c r="H781" i="37"/>
  <c r="H780" i="37"/>
  <c r="G779" i="37"/>
  <c r="H776" i="37"/>
  <c r="H772" i="37"/>
  <c r="G772" i="37"/>
  <c r="E100" i="3"/>
  <c r="B100" i="3" s="1"/>
  <c r="G769" i="37"/>
  <c r="E201" i="3"/>
  <c r="B201" i="3" s="1"/>
  <c r="E200" i="3"/>
  <c r="B200" i="3" s="1"/>
  <c r="G763" i="37"/>
  <c r="G762" i="37"/>
  <c r="E92" i="3"/>
  <c r="B92" i="3" s="1"/>
  <c r="G759" i="37"/>
  <c r="H754" i="37"/>
  <c r="G754" i="37"/>
  <c r="E89" i="3"/>
  <c r="B89" i="3" s="1"/>
  <c r="H752" i="37"/>
  <c r="E85" i="3"/>
  <c r="B85" i="3" s="1"/>
  <c r="H746" i="37"/>
  <c r="G744" i="37"/>
  <c r="H742" i="37"/>
  <c r="E81" i="3"/>
  <c r="B81" i="3" s="1"/>
  <c r="H741" i="37"/>
  <c r="E192" i="3"/>
  <c r="B192" i="3" s="1"/>
  <c r="H740" i="37"/>
  <c r="E79" i="3"/>
  <c r="B79" i="3" s="1"/>
  <c r="H729" i="37"/>
  <c r="G727" i="37"/>
  <c r="G723" i="37"/>
  <c r="G721" i="37"/>
  <c r="H715" i="37"/>
  <c r="G715" i="37"/>
  <c r="E70" i="3"/>
  <c r="B70" i="3" s="1"/>
  <c r="H713" i="37"/>
  <c r="G706" i="37"/>
  <c r="H703" i="37"/>
  <c r="G702" i="37"/>
  <c r="G699" i="37"/>
  <c r="H697" i="37"/>
  <c r="G692" i="37"/>
  <c r="E65" i="3"/>
  <c r="B65" i="3" s="1"/>
  <c r="G690" i="37"/>
  <c r="G688" i="37"/>
  <c r="G683" i="37"/>
  <c r="G680" i="37"/>
  <c r="H679" i="37"/>
  <c r="H674" i="37"/>
  <c r="G671" i="37"/>
  <c r="H671" i="37"/>
  <c r="G670" i="37"/>
  <c r="E59" i="3"/>
  <c r="B59" i="3" s="1"/>
  <c r="G669" i="37"/>
  <c r="H668" i="37"/>
  <c r="H667" i="37"/>
  <c r="G666" i="37"/>
  <c r="E57" i="3"/>
  <c r="B57" i="3" s="1"/>
  <c r="G665" i="37"/>
  <c r="H664" i="37"/>
  <c r="G662" i="37"/>
  <c r="E53" i="3"/>
  <c r="B53" i="3" s="1"/>
  <c r="E52" i="3"/>
  <c r="B52" i="3" s="1"/>
  <c r="G658" i="37"/>
  <c r="G657" i="37"/>
  <c r="E51" i="3"/>
  <c r="B51" i="3" s="1"/>
  <c r="H655" i="37"/>
  <c r="H652" i="37"/>
  <c r="H651" i="37"/>
  <c r="H649" i="37"/>
  <c r="G647" i="37"/>
  <c r="H645" i="37"/>
  <c r="G643" i="37"/>
  <c r="G642" i="37"/>
  <c r="H641" i="37"/>
  <c r="H640" i="37"/>
  <c r="G636" i="37"/>
  <c r="G635" i="37"/>
  <c r="G634" i="37"/>
  <c r="H633" i="37"/>
  <c r="H632" i="37"/>
  <c r="G630" i="37"/>
  <c r="H629" i="37"/>
  <c r="H628" i="37"/>
  <c r="G628" i="37"/>
  <c r="G627" i="37"/>
  <c r="G625" i="37"/>
  <c r="H624" i="37"/>
  <c r="G623" i="37"/>
  <c r="G621" i="37"/>
  <c r="H621" i="37"/>
  <c r="H620" i="37"/>
  <c r="H619" i="37"/>
  <c r="E41" i="3"/>
  <c r="B41" i="3" s="1"/>
  <c r="E178" i="3"/>
  <c r="B178" i="3" s="1"/>
  <c r="G617" i="37"/>
  <c r="H616" i="37"/>
  <c r="G615" i="37"/>
  <c r="H615" i="37"/>
  <c r="G613" i="37"/>
  <c r="H613" i="37"/>
  <c r="H610" i="37"/>
  <c r="G608" i="37"/>
  <c r="G597" i="37"/>
  <c r="G594" i="37"/>
  <c r="H593" i="37"/>
  <c r="H591" i="37"/>
  <c r="G591" i="37"/>
  <c r="H588" i="37"/>
  <c r="G588" i="37"/>
  <c r="G586" i="37"/>
  <c r="E597" i="1"/>
  <c r="D585" i="37" s="1"/>
  <c r="G587" i="37"/>
  <c r="H587" i="37"/>
  <c r="G580" i="37"/>
  <c r="G576" i="37"/>
  <c r="G573" i="37"/>
  <c r="H569" i="37"/>
  <c r="G568" i="37"/>
  <c r="E146" i="3"/>
  <c r="B146" i="3" s="1"/>
  <c r="G566" i="37"/>
  <c r="F575" i="1"/>
  <c r="G562" i="37"/>
  <c r="E226" i="3"/>
  <c r="B226" i="3" s="1"/>
  <c r="G560" i="37"/>
  <c r="E141" i="3"/>
  <c r="B141" i="3" s="1"/>
  <c r="F571" i="1"/>
  <c r="E222" i="3"/>
  <c r="B222" i="3" s="1"/>
  <c r="G555" i="37"/>
  <c r="H552" i="37"/>
  <c r="G552" i="37"/>
  <c r="G551" i="37"/>
  <c r="G547" i="37"/>
  <c r="G549" i="37"/>
  <c r="H548" i="37"/>
  <c r="F557" i="1"/>
  <c r="C541" i="37"/>
  <c r="G541" i="37" s="1"/>
  <c r="K172" i="3"/>
  <c r="H535" i="37"/>
  <c r="D539" i="1"/>
  <c r="F539" i="1" s="1"/>
  <c r="G532" i="37"/>
  <c r="C531" i="37"/>
  <c r="G528" i="37"/>
  <c r="E135" i="3"/>
  <c r="B135" i="3" s="1"/>
  <c r="G521" i="37"/>
  <c r="H521" i="37"/>
  <c r="H513" i="37"/>
  <c r="G513" i="37"/>
  <c r="G510" i="37"/>
  <c r="G509" i="37"/>
  <c r="G508" i="37"/>
  <c r="G501" i="37"/>
  <c r="H495" i="37"/>
  <c r="G490" i="37"/>
  <c r="H490" i="37"/>
  <c r="E213" i="3"/>
  <c r="B213" i="3" s="1"/>
  <c r="E118" i="3"/>
  <c r="B118" i="3" s="1"/>
  <c r="E117" i="3"/>
  <c r="B117" i="3" s="1"/>
  <c r="G470" i="37"/>
  <c r="E111" i="3"/>
  <c r="B111" i="3" s="1"/>
  <c r="E210" i="3"/>
  <c r="B210" i="3" s="1"/>
  <c r="E110" i="3"/>
  <c r="B110" i="3" s="1"/>
  <c r="E107" i="3"/>
  <c r="B107" i="3" s="1"/>
  <c r="E207" i="3"/>
  <c r="B207" i="3" s="1"/>
  <c r="E104" i="3"/>
  <c r="B104" i="3" s="1"/>
  <c r="E103" i="3"/>
  <c r="B103" i="3" s="1"/>
  <c r="H458" i="37"/>
  <c r="G455" i="37"/>
  <c r="E203" i="3"/>
  <c r="B203" i="3" s="1"/>
  <c r="C453" i="37"/>
  <c r="G453" i="37" s="1"/>
  <c r="E202" i="3"/>
  <c r="B202" i="3" s="1"/>
  <c r="E98" i="3"/>
  <c r="B98" i="3" s="1"/>
  <c r="E97" i="3"/>
  <c r="B97" i="3" s="1"/>
  <c r="G450" i="37"/>
  <c r="E199" i="3"/>
  <c r="B199" i="3" s="1"/>
  <c r="E96" i="3"/>
  <c r="B96" i="3" s="1"/>
  <c r="F456" i="1"/>
  <c r="G445" i="37"/>
  <c r="H443" i="37"/>
  <c r="C441" i="37"/>
  <c r="G438" i="37"/>
  <c r="G437" i="37"/>
  <c r="G430" i="37"/>
  <c r="G429" i="37"/>
  <c r="H427" i="37"/>
  <c r="E94" i="3"/>
  <c r="B94" i="3" s="1"/>
  <c r="H419" i="37"/>
  <c r="E93" i="3"/>
  <c r="B93" i="3" s="1"/>
  <c r="F425" i="1"/>
  <c r="E90" i="3"/>
  <c r="B90" i="3" s="1"/>
  <c r="G406" i="37"/>
  <c r="F413" i="1"/>
  <c r="E196" i="3"/>
  <c r="B196" i="3" s="1"/>
  <c r="H401" i="37"/>
  <c r="G402" i="37"/>
  <c r="F411" i="1"/>
  <c r="F407" i="1"/>
  <c r="E191" i="3"/>
  <c r="B191" i="3" s="1"/>
  <c r="H393" i="37"/>
  <c r="D398" i="1"/>
  <c r="F398" i="1" s="1"/>
  <c r="C387" i="37"/>
  <c r="G387" i="37" s="1"/>
  <c r="H377" i="37"/>
  <c r="F395" i="1"/>
  <c r="H375" i="37"/>
  <c r="F380" i="1"/>
  <c r="H368" i="37"/>
  <c r="G366" i="37"/>
  <c r="G360" i="37"/>
  <c r="E364" i="1"/>
  <c r="D353" i="37" s="1"/>
  <c r="H358" i="37"/>
  <c r="D364" i="1"/>
  <c r="F364" i="1" s="1"/>
  <c r="C351" i="37"/>
  <c r="G351" i="37" s="1"/>
  <c r="G345" i="37"/>
  <c r="G340" i="37"/>
  <c r="G337" i="37"/>
  <c r="G335" i="37"/>
  <c r="H332" i="37"/>
  <c r="G330" i="37"/>
  <c r="G329" i="37"/>
  <c r="G328" i="37"/>
  <c r="C320" i="37"/>
  <c r="H316" i="37"/>
  <c r="F321" i="1"/>
  <c r="G309" i="37"/>
  <c r="H308" i="37"/>
  <c r="G295" i="37"/>
  <c r="H288" i="37"/>
  <c r="H286" i="37"/>
  <c r="H285" i="37"/>
  <c r="H283" i="37"/>
  <c r="H281" i="37"/>
  <c r="G280" i="37"/>
  <c r="H278" i="37"/>
  <c r="H275" i="37"/>
  <c r="G272" i="37"/>
  <c r="H272" i="37"/>
  <c r="H270" i="37"/>
  <c r="G268" i="37"/>
  <c r="G267" i="37"/>
  <c r="G264" i="37"/>
  <c r="G262" i="37"/>
  <c r="H259" i="37"/>
  <c r="E264" i="1"/>
  <c r="D253" i="37" s="1"/>
  <c r="G256" i="37"/>
  <c r="H251" i="37"/>
  <c r="G250" i="37"/>
  <c r="H249" i="37"/>
  <c r="H242" i="37"/>
  <c r="F254" i="1"/>
  <c r="G240" i="37"/>
  <c r="G239" i="37"/>
  <c r="G238" i="37"/>
  <c r="H238" i="37"/>
  <c r="G236" i="37"/>
  <c r="G235" i="37"/>
  <c r="H234" i="37"/>
  <c r="H227" i="37"/>
  <c r="E74" i="3"/>
  <c r="B74" i="3" s="1"/>
  <c r="E73" i="3"/>
  <c r="B73" i="3" s="1"/>
  <c r="G224" i="37"/>
  <c r="H223" i="37"/>
  <c r="C219" i="37"/>
  <c r="H219" i="37" s="1"/>
  <c r="G220" i="37"/>
  <c r="H220" i="37"/>
  <c r="H216" i="37"/>
  <c r="E216" i="1"/>
  <c r="D206" i="37" s="1"/>
  <c r="H209" i="37"/>
  <c r="H202" i="37"/>
  <c r="G205" i="37"/>
  <c r="H204" i="37"/>
  <c r="E66" i="3"/>
  <c r="B66" i="3" s="1"/>
  <c r="G194" i="37"/>
  <c r="E62" i="3"/>
  <c r="B62" i="3" s="1"/>
  <c r="G187" i="37"/>
  <c r="G183" i="37"/>
  <c r="G181" i="37"/>
  <c r="G175" i="37"/>
  <c r="G174" i="37"/>
  <c r="E56" i="3"/>
  <c r="B56" i="3" s="1"/>
  <c r="G173" i="37"/>
  <c r="E55" i="3"/>
  <c r="B55" i="3" s="1"/>
  <c r="G169" i="37"/>
  <c r="H168" i="37"/>
  <c r="H166" i="37"/>
  <c r="G165" i="37"/>
  <c r="H164" i="37"/>
  <c r="G164" i="37"/>
  <c r="G162" i="37"/>
  <c r="H162" i="37"/>
  <c r="G159" i="37"/>
  <c r="G158" i="37"/>
  <c r="H155" i="37"/>
  <c r="H154" i="37"/>
  <c r="H151" i="37"/>
  <c r="G144" i="37"/>
  <c r="H143" i="37"/>
  <c r="H139" i="37"/>
  <c r="G139" i="37"/>
  <c r="H136" i="37"/>
  <c r="G131" i="37"/>
  <c r="G128" i="37"/>
  <c r="H124" i="37"/>
  <c r="H122" i="37"/>
  <c r="H118" i="37"/>
  <c r="F122" i="1"/>
  <c r="G112" i="37"/>
  <c r="D118" i="1"/>
  <c r="C108" i="37" s="1"/>
  <c r="H108" i="37" s="1"/>
  <c r="G111" i="37"/>
  <c r="H106" i="37"/>
  <c r="H105" i="37"/>
  <c r="H102" i="37"/>
  <c r="H100" i="37"/>
  <c r="H93" i="37"/>
  <c r="G90" i="37"/>
  <c r="H89" i="37"/>
  <c r="G86" i="37"/>
  <c r="H85" i="37"/>
  <c r="F93" i="1"/>
  <c r="G82" i="37"/>
  <c r="H81" i="37"/>
  <c r="H79" i="37"/>
  <c r="H76" i="37"/>
  <c r="G76" i="37"/>
  <c r="H75" i="37"/>
  <c r="G72" i="37"/>
  <c r="H70" i="37"/>
  <c r="H65" i="37"/>
  <c r="G66" i="37"/>
  <c r="E47" i="3"/>
  <c r="B47" i="3" s="1"/>
  <c r="G61" i="37"/>
  <c r="H58" i="37"/>
  <c r="G47" i="37"/>
  <c r="H47" i="37"/>
  <c r="H45" i="37"/>
  <c r="G42" i="37"/>
  <c r="D50" i="1"/>
  <c r="G39" i="37"/>
  <c r="G38" i="37"/>
  <c r="H35" i="37"/>
  <c r="F43" i="1"/>
  <c r="H24" i="37"/>
  <c r="G23" i="37"/>
  <c r="H17" i="37"/>
  <c r="G15" i="37"/>
  <c r="C13" i="37"/>
  <c r="G13" i="37" s="1"/>
  <c r="G14" i="37"/>
  <c r="G12" i="37"/>
  <c r="H10" i="37"/>
  <c r="H8" i="37"/>
  <c r="L25" i="37"/>
  <c r="C22" i="42"/>
  <c r="E33" i="3"/>
  <c r="B33" i="3" s="1"/>
  <c r="E4" i="3"/>
  <c r="B4" i="3" s="1"/>
  <c r="G1695" i="37"/>
  <c r="H1688" i="37"/>
  <c r="D216" i="27"/>
  <c r="G1635" i="37"/>
  <c r="H1630" i="37"/>
  <c r="G1637" i="37"/>
  <c r="G1617" i="37"/>
  <c r="H1616" i="37"/>
  <c r="G1604" i="37"/>
  <c r="D131" i="27"/>
  <c r="G1552" i="37"/>
  <c r="G1543" i="37"/>
  <c r="D1542" i="37"/>
  <c r="H1542" i="37" s="1"/>
  <c r="G1545" i="37"/>
  <c r="H1544" i="37"/>
  <c r="H19" i="3"/>
  <c r="K58" i="42"/>
  <c r="G20" i="3"/>
  <c r="G1544" i="37"/>
  <c r="H1534" i="37"/>
  <c r="G1530" i="37"/>
  <c r="H1526" i="37"/>
  <c r="H1511" i="37"/>
  <c r="G1509" i="37"/>
  <c r="H1509" i="37"/>
  <c r="F40" i="27"/>
  <c r="F25" i="27"/>
  <c r="H1494" i="37"/>
  <c r="G1500" i="37"/>
  <c r="H1500" i="37"/>
  <c r="C1488" i="37"/>
  <c r="G1491" i="37"/>
  <c r="H1493" i="37"/>
  <c r="G1485" i="37"/>
  <c r="H1433" i="37"/>
  <c r="D1424" i="37"/>
  <c r="G1424" i="37" s="1"/>
  <c r="C1410" i="37"/>
  <c r="H1410" i="37" s="1"/>
  <c r="G1403" i="37"/>
  <c r="G1405" i="37"/>
  <c r="G1408" i="37"/>
  <c r="H1383" i="37"/>
  <c r="H1377" i="37"/>
  <c r="G1381" i="37"/>
  <c r="D42" i="36"/>
  <c r="C1330" i="37" s="1"/>
  <c r="H1350" i="37"/>
  <c r="G1334" i="37"/>
  <c r="F46" i="36"/>
  <c r="H1323" i="37"/>
  <c r="G1323" i="37"/>
  <c r="G1328" i="37"/>
  <c r="G1324" i="37"/>
  <c r="F35" i="36"/>
  <c r="H1329" i="37"/>
  <c r="G1312" i="37"/>
  <c r="C1308" i="37"/>
  <c r="E12" i="36"/>
  <c r="F12" i="36" s="1"/>
  <c r="D1301" i="37"/>
  <c r="H1301" i="37" s="1"/>
  <c r="H1302" i="37"/>
  <c r="C1300" i="37"/>
  <c r="J48" i="42"/>
  <c r="G1004" i="37"/>
  <c r="G1832" i="37"/>
  <c r="G1814" i="37"/>
  <c r="G1815" i="37"/>
  <c r="G1805" i="37"/>
  <c r="E181" i="3"/>
  <c r="B181" i="3" s="1"/>
  <c r="E183" i="3"/>
  <c r="B183" i="3" s="1"/>
  <c r="E186" i="3"/>
  <c r="B186" i="3" s="1"/>
  <c r="E162" i="3"/>
  <c r="B162" i="3" s="1"/>
  <c r="H700" i="37"/>
  <c r="G700" i="37"/>
  <c r="G735" i="37"/>
  <c r="H733" i="37"/>
  <c r="H658" i="37"/>
  <c r="H657" i="37"/>
  <c r="G650" i="37"/>
  <c r="G1849" i="37"/>
  <c r="G1848" i="37"/>
  <c r="H1845" i="37"/>
  <c r="G1845" i="37"/>
  <c r="G1844" i="37"/>
  <c r="G1839" i="37"/>
  <c r="G1840" i="37"/>
  <c r="G1829" i="37"/>
  <c r="H1829" i="37"/>
  <c r="G1831" i="37"/>
  <c r="G1818" i="37"/>
  <c r="G1813" i="37"/>
  <c r="G1809" i="37"/>
  <c r="G1804" i="37"/>
  <c r="D54" i="30"/>
  <c r="K64" i="42" s="1"/>
  <c r="H1799" i="37"/>
  <c r="G1793" i="37"/>
  <c r="G1788" i="37"/>
  <c r="G1781" i="37"/>
  <c r="H1776" i="37"/>
  <c r="G1777" i="37"/>
  <c r="G1768" i="37"/>
  <c r="G1763" i="37"/>
  <c r="D13" i="30"/>
  <c r="C1757" i="37" s="1"/>
  <c r="H1757" i="37" s="1"/>
  <c r="K8" i="37"/>
  <c r="A1758" i="37"/>
  <c r="A1760" i="37"/>
  <c r="A1769" i="37"/>
  <c r="A1828" i="37"/>
  <c r="A1782" i="37"/>
  <c r="A1779" i="37"/>
  <c r="A1805" i="37"/>
  <c r="A1791" i="37"/>
  <c r="A1812" i="37"/>
  <c r="A1801" i="37"/>
  <c r="A1808" i="37"/>
  <c r="A1820" i="37"/>
  <c r="A1787" i="37"/>
  <c r="A1848" i="37"/>
  <c r="A1819" i="37"/>
  <c r="A1841" i="37"/>
  <c r="A1768" i="37"/>
  <c r="A1757" i="37"/>
  <c r="A1834" i="37"/>
  <c r="A1811" i="37"/>
  <c r="A1810" i="37"/>
  <c r="A1784" i="37"/>
  <c r="A1767" i="37"/>
  <c r="A1847" i="37"/>
  <c r="A1844" i="37"/>
  <c r="A1833" i="37"/>
  <c r="A1802" i="37"/>
  <c r="A1788" i="37"/>
  <c r="A1831" i="37"/>
  <c r="A1783" i="37"/>
  <c r="A1816" i="37"/>
  <c r="A1799" i="37"/>
  <c r="A1809" i="37"/>
  <c r="A1786" i="37"/>
  <c r="A1822" i="37"/>
  <c r="A1794" i="37"/>
  <c r="A1806" i="37"/>
  <c r="A1770" i="37"/>
  <c r="A1761" i="37"/>
  <c r="A1827" i="37"/>
  <c r="A1763" i="37"/>
  <c r="A1843" i="37"/>
  <c r="A1762" i="37"/>
  <c r="A1773" i="37"/>
  <c r="A1830" i="37"/>
  <c r="A1781" i="37"/>
  <c r="A1849" i="37"/>
  <c r="A1817" i="37"/>
  <c r="A1776" i="37"/>
  <c r="A1829" i="37"/>
  <c r="A1798" i="37"/>
  <c r="A1835" i="37"/>
  <c r="A1803" i="37"/>
  <c r="A1838" i="37"/>
  <c r="L7" i="3"/>
  <c r="J9" i="3"/>
  <c r="F10" i="3"/>
  <c r="H11" i="3"/>
  <c r="H9" i="3"/>
  <c r="F13" i="3"/>
  <c r="L10" i="3"/>
  <c r="L15" i="3"/>
  <c r="H15" i="3"/>
  <c r="F12" i="3"/>
  <c r="L14" i="3"/>
  <c r="J10" i="3"/>
  <c r="F7" i="3"/>
  <c r="J14" i="3"/>
  <c r="J12" i="3"/>
  <c r="G5" i="3"/>
  <c r="J7" i="3"/>
  <c r="L12" i="3"/>
  <c r="G1298" i="37"/>
  <c r="G1296" i="37"/>
  <c r="G1295" i="37"/>
  <c r="G1294" i="37"/>
  <c r="G1290" i="37"/>
  <c r="G1283" i="37"/>
  <c r="G1281" i="37"/>
  <c r="G1279" i="37"/>
  <c r="G1273" i="37"/>
  <c r="G1270" i="37"/>
  <c r="G1267" i="37"/>
  <c r="G1299" i="37"/>
  <c r="G1263" i="37"/>
  <c r="G1254" i="37"/>
  <c r="G1248" i="37"/>
  <c r="G1242" i="37"/>
  <c r="G1238" i="37"/>
  <c r="G1234" i="37"/>
  <c r="G1262" i="37"/>
  <c r="G1200" i="37"/>
  <c r="G1189" i="37"/>
  <c r="G1175" i="37"/>
  <c r="G1171" i="37"/>
  <c r="G1159" i="37"/>
  <c r="G1156" i="37"/>
  <c r="G1138" i="37"/>
  <c r="G1130" i="37"/>
  <c r="H1117" i="37"/>
  <c r="G1119" i="37"/>
  <c r="G1112" i="37"/>
  <c r="G1109" i="37"/>
  <c r="D235" i="39"/>
  <c r="C1124" i="37" s="1"/>
  <c r="G1124" i="37" s="1"/>
  <c r="G1097" i="37"/>
  <c r="G1092" i="37"/>
  <c r="G1090" i="37"/>
  <c r="H1090" i="37"/>
  <c r="G1088" i="37"/>
  <c r="H1088" i="37"/>
  <c r="G1086" i="37"/>
  <c r="G1087" i="37"/>
  <c r="H1084" i="37"/>
  <c r="G1084" i="37"/>
  <c r="D194" i="39"/>
  <c r="C1083" i="37" s="1"/>
  <c r="G1085" i="37"/>
  <c r="G1077" i="37"/>
  <c r="G1067" i="37"/>
  <c r="H1067" i="37"/>
  <c r="G1065" i="37"/>
  <c r="G1054" i="37"/>
  <c r="G1046" i="37"/>
  <c r="G1041" i="37"/>
  <c r="D151" i="39"/>
  <c r="C1040" i="37" s="1"/>
  <c r="G1040" i="37" s="1"/>
  <c r="G1044" i="37"/>
  <c r="H1031" i="37"/>
  <c r="G1031" i="37"/>
  <c r="G1024" i="37"/>
  <c r="G1020" i="37"/>
  <c r="H1020" i="37"/>
  <c r="G1013" i="37"/>
  <c r="G1009" i="37"/>
  <c r="H1009" i="37"/>
  <c r="G1010" i="37"/>
  <c r="G990" i="37"/>
  <c r="G991" i="37"/>
  <c r="D94" i="39"/>
  <c r="C983" i="37" s="1"/>
  <c r="G983" i="37" s="1"/>
  <c r="G989" i="37"/>
  <c r="G984" i="37"/>
  <c r="G978" i="37"/>
  <c r="D67" i="39"/>
  <c r="C956" i="37" s="1"/>
  <c r="H956" i="37" s="1"/>
  <c r="G973" i="37"/>
  <c r="G970" i="37"/>
  <c r="G972" i="37"/>
  <c r="G968" i="37"/>
  <c r="C962" i="37"/>
  <c r="H962" i="37" s="1"/>
  <c r="G963" i="37"/>
  <c r="G960" i="37"/>
  <c r="H957" i="37"/>
  <c r="G957" i="37"/>
  <c r="G954" i="37"/>
  <c r="G952" i="37"/>
  <c r="H947" i="37"/>
  <c r="G948" i="37"/>
  <c r="G943" i="37"/>
  <c r="H937" i="37"/>
  <c r="G929" i="37"/>
  <c r="H929" i="37"/>
  <c r="D34" i="39"/>
  <c r="C923" i="37" s="1"/>
  <c r="G923" i="37" s="1"/>
  <c r="C924" i="37"/>
  <c r="G919" i="37"/>
  <c r="H917" i="37"/>
  <c r="G917" i="37"/>
  <c r="D22" i="39"/>
  <c r="C911" i="37" s="1"/>
  <c r="H911" i="37" s="1"/>
  <c r="G909" i="37"/>
  <c r="G899" i="37"/>
  <c r="G893" i="37"/>
  <c r="G891" i="37"/>
  <c r="H891" i="37"/>
  <c r="H886" i="37"/>
  <c r="H880" i="37"/>
  <c r="H866" i="37"/>
  <c r="H863" i="37"/>
  <c r="G859" i="37"/>
  <c r="E159" i="3"/>
  <c r="B159" i="3" s="1"/>
  <c r="E158" i="3"/>
  <c r="B158" i="3" s="1"/>
  <c r="G855" i="37"/>
  <c r="E155" i="3"/>
  <c r="B155" i="3" s="1"/>
  <c r="G850" i="37"/>
  <c r="H850" i="37"/>
  <c r="E154" i="3"/>
  <c r="B154" i="3" s="1"/>
  <c r="G848" i="37"/>
  <c r="E152" i="3"/>
  <c r="B152" i="3" s="1"/>
  <c r="G845" i="37"/>
  <c r="E230" i="3"/>
  <c r="B230" i="3" s="1"/>
  <c r="E148" i="3"/>
  <c r="B148" i="3" s="1"/>
  <c r="G841" i="37"/>
  <c r="H840" i="37"/>
  <c r="E147" i="3"/>
  <c r="B147" i="3" s="1"/>
  <c r="E229" i="3"/>
  <c r="B229" i="3" s="1"/>
  <c r="E228" i="3"/>
  <c r="B228" i="3" s="1"/>
  <c r="E145" i="3"/>
  <c r="B145" i="3" s="1"/>
  <c r="G838" i="37"/>
  <c r="H838" i="37"/>
  <c r="E144" i="3"/>
  <c r="B144" i="3" s="1"/>
  <c r="G835" i="37"/>
  <c r="E225" i="3"/>
  <c r="B225" i="3" s="1"/>
  <c r="G833" i="37"/>
  <c r="H832" i="37"/>
  <c r="G831" i="37"/>
  <c r="E221" i="3"/>
  <c r="B221" i="3" s="1"/>
  <c r="G827" i="37"/>
  <c r="H823" i="37"/>
  <c r="G823" i="37"/>
  <c r="G821" i="37"/>
  <c r="H820" i="37"/>
  <c r="G818" i="37"/>
  <c r="G817" i="37"/>
  <c r="E131" i="3"/>
  <c r="B131" i="3" s="1"/>
  <c r="G816" i="37"/>
  <c r="E130" i="3"/>
  <c r="B130" i="3" s="1"/>
  <c r="G814" i="37"/>
  <c r="H814" i="37"/>
  <c r="H812" i="37"/>
  <c r="G810" i="37"/>
  <c r="E128" i="3"/>
  <c r="B128" i="3" s="1"/>
  <c r="E220" i="3"/>
  <c r="B220" i="3" s="1"/>
  <c r="E127" i="3"/>
  <c r="B127" i="3" s="1"/>
  <c r="F877" i="1"/>
  <c r="E219" i="3"/>
  <c r="B219" i="3" s="1"/>
  <c r="E218" i="3"/>
  <c r="B218" i="3" s="1"/>
  <c r="G806" i="37"/>
  <c r="G864" i="37"/>
  <c r="E122" i="3"/>
  <c r="B122" i="3" s="1"/>
  <c r="E215" i="3"/>
  <c r="B215" i="3" s="1"/>
  <c r="G801" i="37"/>
  <c r="H864" i="37"/>
  <c r="E120" i="3"/>
  <c r="B120" i="3" s="1"/>
  <c r="G798" i="37"/>
  <c r="H796" i="37"/>
  <c r="E116" i="3"/>
  <c r="B116" i="3" s="1"/>
  <c r="H793" i="37"/>
  <c r="H790" i="37"/>
  <c r="E114" i="3"/>
  <c r="B114" i="3" s="1"/>
  <c r="G788" i="37"/>
  <c r="E113" i="3"/>
  <c r="B113" i="3" s="1"/>
  <c r="G787" i="37"/>
  <c r="H787" i="37"/>
  <c r="E212" i="3"/>
  <c r="B212" i="3" s="1"/>
  <c r="G785" i="37"/>
  <c r="G782" i="37"/>
  <c r="E208" i="3"/>
  <c r="B208" i="3" s="1"/>
  <c r="H782" i="37"/>
  <c r="E108" i="3"/>
  <c r="B108" i="3" s="1"/>
  <c r="H779" i="37"/>
  <c r="E206" i="3"/>
  <c r="B206" i="3" s="1"/>
  <c r="E105" i="3"/>
  <c r="B105" i="3" s="1"/>
  <c r="H777" i="37"/>
  <c r="H775" i="37"/>
  <c r="E205" i="3"/>
  <c r="B205" i="3" s="1"/>
  <c r="E102" i="3"/>
  <c r="B102" i="3" s="1"/>
  <c r="H774" i="37"/>
  <c r="H773" i="37"/>
  <c r="E101" i="3"/>
  <c r="B101" i="3" s="1"/>
  <c r="G771" i="37"/>
  <c r="G770" i="37"/>
  <c r="H770" i="37"/>
  <c r="H769" i="37"/>
  <c r="G767" i="37"/>
  <c r="G765" i="37"/>
  <c r="G760" i="37"/>
  <c r="H760" i="37"/>
  <c r="E91" i="3"/>
  <c r="B91" i="3" s="1"/>
  <c r="G758" i="37"/>
  <c r="G757" i="37"/>
  <c r="G756" i="37"/>
  <c r="H756" i="37"/>
  <c r="H755" i="37"/>
  <c r="G752" i="37"/>
  <c r="E88" i="3"/>
  <c r="B88" i="3" s="1"/>
  <c r="H748" i="37"/>
  <c r="G748" i="37"/>
  <c r="E195" i="3"/>
  <c r="B195" i="3" s="1"/>
  <c r="H744" i="37"/>
  <c r="F813" i="1"/>
  <c r="G742" i="37"/>
  <c r="H800" i="37"/>
  <c r="G800" i="37"/>
  <c r="G739" i="37"/>
  <c r="G737" i="37"/>
  <c r="H735" i="37"/>
  <c r="G734" i="37"/>
  <c r="H734" i="37"/>
  <c r="G733" i="37"/>
  <c r="H732" i="37"/>
  <c r="G732" i="37"/>
  <c r="H731" i="37"/>
  <c r="E77" i="3"/>
  <c r="B77" i="3" s="1"/>
  <c r="G730" i="37"/>
  <c r="H730" i="37"/>
  <c r="E76" i="3"/>
  <c r="B76" i="3" s="1"/>
  <c r="H726" i="37"/>
  <c r="G725" i="37"/>
  <c r="H725" i="37"/>
  <c r="E75" i="3"/>
  <c r="B75" i="3" s="1"/>
  <c r="H723" i="37"/>
  <c r="H721" i="37"/>
  <c r="H719" i="37"/>
  <c r="G719" i="37"/>
  <c r="G718" i="37"/>
  <c r="H718" i="37"/>
  <c r="E71" i="3"/>
  <c r="B71" i="3" s="1"/>
  <c r="G713" i="37"/>
  <c r="G712" i="37"/>
  <c r="H712" i="37"/>
  <c r="H711" i="37"/>
  <c r="G710" i="37"/>
  <c r="G709" i="37"/>
  <c r="G708" i="37"/>
  <c r="E69" i="3"/>
  <c r="B69" i="3" s="1"/>
  <c r="H706" i="37"/>
  <c r="E68" i="3"/>
  <c r="B68" i="3" s="1"/>
  <c r="H701" i="37"/>
  <c r="H699" i="37"/>
  <c r="H698" i="37"/>
  <c r="G697" i="37"/>
  <c r="G694" i="37"/>
  <c r="H688" i="37"/>
  <c r="G686" i="37"/>
  <c r="H684" i="37"/>
  <c r="G684" i="37"/>
  <c r="E63" i="3"/>
  <c r="B63" i="3" s="1"/>
  <c r="G682" i="37"/>
  <c r="H680" i="37"/>
  <c r="H678" i="37"/>
  <c r="H676" i="37"/>
  <c r="E61" i="3"/>
  <c r="B61" i="3" s="1"/>
  <c r="G674" i="37"/>
  <c r="G673" i="37"/>
  <c r="H670" i="37"/>
  <c r="H669" i="37"/>
  <c r="E58" i="3"/>
  <c r="B58" i="3" s="1"/>
  <c r="G667" i="37"/>
  <c r="E185" i="3"/>
  <c r="B185" i="3" s="1"/>
  <c r="H665" i="37"/>
  <c r="E54" i="3"/>
  <c r="B54" i="3" s="1"/>
  <c r="H660" i="37"/>
  <c r="G655" i="37"/>
  <c r="G653" i="37"/>
  <c r="E163" i="3"/>
  <c r="B163" i="3" s="1"/>
  <c r="E39" i="3"/>
  <c r="B39" i="3" s="1"/>
  <c r="E34" i="3"/>
  <c r="B34" i="3" s="1"/>
  <c r="G649" i="37"/>
  <c r="F751" i="1"/>
  <c r="G738" i="37"/>
  <c r="E38" i="3"/>
  <c r="B38" i="3" s="1"/>
  <c r="E180" i="3"/>
  <c r="B180" i="3" s="1"/>
  <c r="H643" i="37"/>
  <c r="H642" i="37"/>
  <c r="G640" i="37"/>
  <c r="E49" i="3"/>
  <c r="B49" i="3" s="1"/>
  <c r="E48" i="3"/>
  <c r="B48" i="3" s="1"/>
  <c r="H637" i="37"/>
  <c r="H636" i="37"/>
  <c r="G632" i="37"/>
  <c r="H630" i="37"/>
  <c r="H627" i="37"/>
  <c r="H626" i="37"/>
  <c r="G626" i="37"/>
  <c r="E43" i="3"/>
  <c r="B43" i="3" s="1"/>
  <c r="E42" i="3"/>
  <c r="B42" i="3" s="1"/>
  <c r="G619" i="37"/>
  <c r="E177" i="3"/>
  <c r="B177" i="3" s="1"/>
  <c r="E40" i="3"/>
  <c r="B40" i="3" s="1"/>
  <c r="G616" i="37"/>
  <c r="E175" i="3"/>
  <c r="B175" i="3" s="1"/>
  <c r="G612" i="37"/>
  <c r="G610" i="37"/>
  <c r="E661" i="1"/>
  <c r="D648" i="37" s="1"/>
  <c r="H24" i="3"/>
  <c r="G17" i="3"/>
  <c r="D661" i="1"/>
  <c r="C648" i="37" s="1"/>
  <c r="F624" i="1"/>
  <c r="H608" i="37"/>
  <c r="G611" i="37"/>
  <c r="H611" i="37"/>
  <c r="G607" i="37"/>
  <c r="G598" i="37"/>
  <c r="H597" i="37"/>
  <c r="E161" i="3"/>
  <c r="B161" i="3" s="1"/>
  <c r="H589" i="37"/>
  <c r="G589" i="37"/>
  <c r="F598" i="1"/>
  <c r="D597" i="1"/>
  <c r="F597" i="1" s="1"/>
  <c r="H586" i="37"/>
  <c r="E160" i="3"/>
  <c r="B160" i="3" s="1"/>
  <c r="F589" i="1"/>
  <c r="E156" i="3"/>
  <c r="B156" i="3" s="1"/>
  <c r="H580" i="37"/>
  <c r="H577" i="37"/>
  <c r="H578" i="37"/>
  <c r="G578" i="37"/>
  <c r="G577" i="37"/>
  <c r="H576" i="37"/>
  <c r="G232" i="3"/>
  <c r="E232" i="3" s="1"/>
  <c r="B232" i="3" s="1"/>
  <c r="E153" i="3"/>
  <c r="B153" i="3" s="1"/>
  <c r="G574" i="37"/>
  <c r="G572" i="37"/>
  <c r="G571" i="37"/>
  <c r="D565" i="1"/>
  <c r="C553" i="37" s="1"/>
  <c r="F577" i="1"/>
  <c r="H562" i="37"/>
  <c r="H559" i="37"/>
  <c r="G559" i="37"/>
  <c r="H560" i="37"/>
  <c r="E140" i="3"/>
  <c r="B140" i="3" s="1"/>
  <c r="H558" i="37"/>
  <c r="G554" i="37"/>
  <c r="E223" i="3"/>
  <c r="B223" i="3" s="1"/>
  <c r="K166" i="3"/>
  <c r="K171" i="3"/>
  <c r="F566" i="1"/>
  <c r="I166" i="3"/>
  <c r="I171" i="3"/>
  <c r="E138" i="3"/>
  <c r="B138" i="3" s="1"/>
  <c r="H554" i="37"/>
  <c r="H549" i="37"/>
  <c r="H547" i="37"/>
  <c r="H543" i="37"/>
  <c r="G542" i="37"/>
  <c r="G537" i="37"/>
  <c r="H538" i="37"/>
  <c r="E539" i="1"/>
  <c r="D527" i="37" s="1"/>
  <c r="H529" i="37"/>
  <c r="E136" i="3"/>
  <c r="B136" i="3" s="1"/>
  <c r="H525" i="37"/>
  <c r="G525" i="37"/>
  <c r="E134" i="3"/>
  <c r="B134" i="3" s="1"/>
  <c r="G523" i="37"/>
  <c r="E132" i="3"/>
  <c r="B132" i="3" s="1"/>
  <c r="C519" i="37"/>
  <c r="H518" i="37"/>
  <c r="H517" i="37"/>
  <c r="F526" i="1"/>
  <c r="G514" i="37"/>
  <c r="G516" i="37"/>
  <c r="H514" i="37"/>
  <c r="H512" i="37"/>
  <c r="G511" i="37"/>
  <c r="F519" i="1"/>
  <c r="H507" i="37"/>
  <c r="G507" i="37"/>
  <c r="G506" i="37"/>
  <c r="H506" i="37"/>
  <c r="F513" i="1"/>
  <c r="E216" i="3"/>
  <c r="B216" i="3" s="1"/>
  <c r="H502" i="37"/>
  <c r="E214" i="3"/>
  <c r="B214" i="3" s="1"/>
  <c r="E504" i="1"/>
  <c r="D492" i="37" s="1"/>
  <c r="H499" i="37"/>
  <c r="F500" i="1"/>
  <c r="H488" i="37"/>
  <c r="G488" i="37"/>
  <c r="E490" i="1"/>
  <c r="D478" i="37" s="1"/>
  <c r="H482" i="37"/>
  <c r="G482" i="37"/>
  <c r="D490" i="1"/>
  <c r="G481" i="37"/>
  <c r="D479" i="37"/>
  <c r="G480" i="37"/>
  <c r="G477" i="37"/>
  <c r="H477" i="37"/>
  <c r="G476" i="37"/>
  <c r="E115" i="3"/>
  <c r="B115" i="3" s="1"/>
  <c r="G473" i="37"/>
  <c r="H473" i="37"/>
  <c r="H471" i="37"/>
  <c r="G471" i="37"/>
  <c r="F483" i="1"/>
  <c r="G472" i="37"/>
  <c r="E211" i="3"/>
  <c r="B211" i="3" s="1"/>
  <c r="H467" i="37"/>
  <c r="E209" i="3"/>
  <c r="B209" i="3" s="1"/>
  <c r="G459" i="37"/>
  <c r="H459" i="37"/>
  <c r="G461" i="37"/>
  <c r="G457" i="37"/>
  <c r="E204" i="3"/>
  <c r="B204" i="3" s="1"/>
  <c r="H455" i="37"/>
  <c r="H452" i="37"/>
  <c r="E459" i="1"/>
  <c r="D447" i="37" s="1"/>
  <c r="H450" i="37"/>
  <c r="H444" i="37"/>
  <c r="H445" i="37"/>
  <c r="G443" i="37"/>
  <c r="G439" i="37"/>
  <c r="H440" i="37"/>
  <c r="F447" i="1"/>
  <c r="D446" i="1"/>
  <c r="F446" i="1" s="1"/>
  <c r="G433" i="37"/>
  <c r="E95" i="3"/>
  <c r="B95" i="3" s="1"/>
  <c r="E198" i="3"/>
  <c r="B198" i="3" s="1"/>
  <c r="G432" i="37"/>
  <c r="H428" i="37"/>
  <c r="E433" i="1"/>
  <c r="D421" i="37" s="1"/>
  <c r="G428" i="37"/>
  <c r="F437" i="1"/>
  <c r="H425" i="37"/>
  <c r="G427" i="37"/>
  <c r="G425" i="37"/>
  <c r="D422" i="37"/>
  <c r="G422" i="37" s="1"/>
  <c r="G423" i="37"/>
  <c r="H420" i="37"/>
  <c r="G418" i="37"/>
  <c r="H413" i="37"/>
  <c r="G416" i="37"/>
  <c r="G415" i="37"/>
  <c r="G413" i="37"/>
  <c r="H408" i="37"/>
  <c r="H409" i="37"/>
  <c r="G408" i="37"/>
  <c r="H405" i="37"/>
  <c r="G405" i="37"/>
  <c r="E197" i="3"/>
  <c r="B197" i="3" s="1"/>
  <c r="G401" i="37"/>
  <c r="H398" i="37"/>
  <c r="E193" i="3"/>
  <c r="B193" i="3" s="1"/>
  <c r="E80" i="3"/>
  <c r="B80" i="3" s="1"/>
  <c r="H395" i="37"/>
  <c r="G395" i="37"/>
  <c r="G393" i="37"/>
  <c r="H392" i="37"/>
  <c r="G392" i="37"/>
  <c r="G389" i="37"/>
  <c r="H387" i="37"/>
  <c r="C384" i="37"/>
  <c r="G384" i="37" s="1"/>
  <c r="E616" i="1"/>
  <c r="D604" i="37" s="1"/>
  <c r="F393" i="1"/>
  <c r="E615" i="1"/>
  <c r="D603" i="37" s="1"/>
  <c r="G376" i="37"/>
  <c r="F394" i="1"/>
  <c r="G372" i="37"/>
  <c r="G370" i="37"/>
  <c r="H369" i="37"/>
  <c r="H367" i="37"/>
  <c r="E373" i="1"/>
  <c r="G37" i="3" s="1"/>
  <c r="G368" i="37"/>
  <c r="H366" i="37"/>
  <c r="G364" i="37"/>
  <c r="G361" i="37"/>
  <c r="H361" i="37"/>
  <c r="H360" i="37"/>
  <c r="G358" i="37"/>
  <c r="C354" i="37"/>
  <c r="H354" i="37" s="1"/>
  <c r="C353" i="37"/>
  <c r="G353" i="37" s="1"/>
  <c r="F365" i="1"/>
  <c r="G352" i="37"/>
  <c r="H350" i="37"/>
  <c r="G349" i="37"/>
  <c r="H346" i="37"/>
  <c r="G348" i="37"/>
  <c r="G346" i="37"/>
  <c r="F354" i="1"/>
  <c r="H343" i="37"/>
  <c r="H340" i="37"/>
  <c r="H338" i="37"/>
  <c r="H333" i="37"/>
  <c r="G333" i="37"/>
  <c r="H334" i="37"/>
  <c r="G332" i="37"/>
  <c r="G331" i="37"/>
  <c r="G325" i="37"/>
  <c r="F336" i="1"/>
  <c r="H326" i="37"/>
  <c r="H325" i="37"/>
  <c r="E330" i="1"/>
  <c r="D319" i="37" s="1"/>
  <c r="G322" i="37"/>
  <c r="G320" i="37"/>
  <c r="H321" i="37"/>
  <c r="H320" i="37"/>
  <c r="G318" i="37"/>
  <c r="G316" i="37"/>
  <c r="D316" i="1"/>
  <c r="G310" i="37"/>
  <c r="H310" i="37"/>
  <c r="G311" i="37"/>
  <c r="E316" i="1"/>
  <c r="D305" i="37" s="1"/>
  <c r="H302" i="37"/>
  <c r="G302" i="37"/>
  <c r="G297" i="37"/>
  <c r="H300" i="37"/>
  <c r="G296" i="37"/>
  <c r="G289" i="37"/>
  <c r="H289" i="37"/>
  <c r="F295" i="1"/>
  <c r="G284" i="37"/>
  <c r="G285" i="37"/>
  <c r="H284" i="37"/>
  <c r="F290" i="1"/>
  <c r="G281" i="37"/>
  <c r="G278" i="37"/>
  <c r="H277" i="37"/>
  <c r="G276" i="37"/>
  <c r="G275" i="37"/>
  <c r="E276" i="1"/>
  <c r="D265" i="37" s="1"/>
  <c r="G270" i="37"/>
  <c r="F277" i="1"/>
  <c r="G266" i="37"/>
  <c r="H266" i="37"/>
  <c r="H267" i="37"/>
  <c r="G263" i="37"/>
  <c r="H262" i="37"/>
  <c r="F269" i="1"/>
  <c r="G255" i="37"/>
  <c r="C253" i="37"/>
  <c r="D616" i="1"/>
  <c r="C604" i="37" s="1"/>
  <c r="H383" i="37"/>
  <c r="G383" i="37"/>
  <c r="H243" i="37"/>
  <c r="G242" i="37"/>
  <c r="G244" i="37"/>
  <c r="H240" i="37"/>
  <c r="H236" i="37"/>
  <c r="F242" i="1"/>
  <c r="H232" i="37"/>
  <c r="H231" i="37"/>
  <c r="F239" i="1"/>
  <c r="D235" i="1"/>
  <c r="C225" i="37" s="1"/>
  <c r="G229" i="37"/>
  <c r="G228" i="37"/>
  <c r="H226" i="37"/>
  <c r="F236" i="1"/>
  <c r="H222" i="37"/>
  <c r="E72" i="3"/>
  <c r="B72" i="3" s="1"/>
  <c r="G222" i="37"/>
  <c r="D228" i="1"/>
  <c r="C218" i="37" s="1"/>
  <c r="G221" i="37"/>
  <c r="H221" i="37"/>
  <c r="G216" i="37"/>
  <c r="G214" i="37"/>
  <c r="H213" i="37"/>
  <c r="F223" i="1"/>
  <c r="G212" i="37"/>
  <c r="H212" i="37"/>
  <c r="G210" i="37"/>
  <c r="G211" i="37"/>
  <c r="H211" i="37"/>
  <c r="D216" i="1"/>
  <c r="H208" i="37"/>
  <c r="E67" i="3"/>
  <c r="B67" i="3" s="1"/>
  <c r="D208" i="1"/>
  <c r="C198" i="37" s="1"/>
  <c r="F209" i="1"/>
  <c r="E187" i="3"/>
  <c r="B187" i="3" s="1"/>
  <c r="G193" i="37"/>
  <c r="H193" i="37"/>
  <c r="H192" i="37"/>
  <c r="G190" i="37"/>
  <c r="C185" i="37"/>
  <c r="G185" i="37" s="1"/>
  <c r="H184" i="37"/>
  <c r="E60" i="3"/>
  <c r="B60" i="3" s="1"/>
  <c r="H181" i="37"/>
  <c r="D189" i="1"/>
  <c r="C179" i="37" s="1"/>
  <c r="F190" i="1"/>
  <c r="G178" i="37"/>
  <c r="H177" i="37"/>
  <c r="H176" i="37"/>
  <c r="H174" i="37"/>
  <c r="G172" i="37"/>
  <c r="E184" i="3"/>
  <c r="B184" i="3" s="1"/>
  <c r="F182" i="1"/>
  <c r="H173" i="37"/>
  <c r="G171" i="37"/>
  <c r="H171" i="37"/>
  <c r="H169" i="37"/>
  <c r="H167" i="37"/>
  <c r="E182" i="3"/>
  <c r="B182" i="3" s="1"/>
  <c r="H158" i="37"/>
  <c r="F162" i="1"/>
  <c r="H152" i="37"/>
  <c r="E156" i="1"/>
  <c r="D146" i="37" s="1"/>
  <c r="G147" i="37"/>
  <c r="H147" i="37"/>
  <c r="D156" i="1"/>
  <c r="F157" i="1"/>
  <c r="H144" i="37"/>
  <c r="G142" i="37"/>
  <c r="D144" i="1"/>
  <c r="C134" i="37" s="1"/>
  <c r="G140" i="37"/>
  <c r="H140" i="37"/>
  <c r="G135" i="37"/>
  <c r="H135" i="37"/>
  <c r="G136" i="37"/>
  <c r="G130" i="37"/>
  <c r="H130" i="37"/>
  <c r="F131" i="1"/>
  <c r="D130" i="1"/>
  <c r="F130" i="1" s="1"/>
  <c r="H129" i="37"/>
  <c r="H128" i="37"/>
  <c r="H126" i="37"/>
  <c r="G126" i="37"/>
  <c r="G124" i="37"/>
  <c r="E130" i="1"/>
  <c r="D120" i="37" s="1"/>
  <c r="H121" i="37"/>
  <c r="G121" i="37"/>
  <c r="G122" i="37"/>
  <c r="I168" i="3"/>
  <c r="H117" i="37"/>
  <c r="G114" i="37"/>
  <c r="G109" i="37"/>
  <c r="G110" i="37"/>
  <c r="H110" i="37"/>
  <c r="F114" i="1"/>
  <c r="G106" i="37"/>
  <c r="C104" i="37"/>
  <c r="G104" i="37" s="1"/>
  <c r="G103" i="37"/>
  <c r="H103" i="37"/>
  <c r="G102" i="37"/>
  <c r="G101" i="37"/>
  <c r="H99" i="37"/>
  <c r="F107" i="1"/>
  <c r="G99" i="37"/>
  <c r="H96" i="37"/>
  <c r="G96" i="37"/>
  <c r="H95" i="37"/>
  <c r="F102" i="1"/>
  <c r="G93" i="37"/>
  <c r="G89" i="37"/>
  <c r="G85" i="37"/>
  <c r="G83" i="37"/>
  <c r="H83" i="37"/>
  <c r="F87" i="1"/>
  <c r="G78" i="37"/>
  <c r="E179" i="3"/>
  <c r="B179" i="3" s="1"/>
  <c r="G74" i="37"/>
  <c r="H73" i="37"/>
  <c r="D78" i="1"/>
  <c r="C68" i="37" s="1"/>
  <c r="E78" i="1"/>
  <c r="D68" i="37" s="1"/>
  <c r="F79" i="1"/>
  <c r="H69" i="37"/>
  <c r="H66" i="37"/>
  <c r="E58" i="1"/>
  <c r="D48" i="37" s="1"/>
  <c r="G57" i="37"/>
  <c r="G58" i="37"/>
  <c r="H57" i="37"/>
  <c r="F67" i="1"/>
  <c r="H52" i="37"/>
  <c r="H53" i="37"/>
  <c r="D58" i="1"/>
  <c r="C48" i="37" s="1"/>
  <c r="G52" i="37"/>
  <c r="F62" i="1"/>
  <c r="G50" i="37"/>
  <c r="C46" i="37"/>
  <c r="G44" i="37"/>
  <c r="H44" i="37"/>
  <c r="H41" i="37"/>
  <c r="G41" i="37"/>
  <c r="H39" i="37"/>
  <c r="H36" i="37"/>
  <c r="G36" i="37"/>
  <c r="G34" i="37"/>
  <c r="G32" i="37"/>
  <c r="F35" i="1"/>
  <c r="H30" i="37"/>
  <c r="H25" i="37"/>
  <c r="G28" i="37"/>
  <c r="G25" i="37"/>
  <c r="G26" i="37"/>
  <c r="J172" i="3"/>
  <c r="H23" i="37"/>
  <c r="G22" i="37"/>
  <c r="H171" i="3"/>
  <c r="H173" i="3"/>
  <c r="G20" i="37"/>
  <c r="H20" i="37"/>
  <c r="D13" i="1"/>
  <c r="C3" i="37" s="1"/>
  <c r="H7" i="37"/>
  <c r="G4" i="37"/>
  <c r="H4" i="37"/>
  <c r="H172" i="3"/>
  <c r="J169" i="3"/>
  <c r="J166" i="3"/>
  <c r="J171" i="3"/>
  <c r="J173" i="3"/>
  <c r="G306" i="37"/>
  <c r="H306" i="37"/>
  <c r="H357" i="37"/>
  <c r="G357" i="37"/>
  <c r="C431" i="37"/>
  <c r="F443" i="1"/>
  <c r="C466" i="37"/>
  <c r="F478" i="1"/>
  <c r="D459" i="1"/>
  <c r="C485" i="37"/>
  <c r="F497" i="1"/>
  <c r="H531" i="37"/>
  <c r="G531" i="37"/>
  <c r="I170" i="3"/>
  <c r="I172" i="3"/>
  <c r="H1356" i="37"/>
  <c r="G1356" i="37"/>
  <c r="G1476" i="37"/>
  <c r="H1476" i="37"/>
  <c r="E39" i="50"/>
  <c r="D1877" i="37" s="1"/>
  <c r="D1519" i="37"/>
  <c r="F50" i="27"/>
  <c r="J58" i="42"/>
  <c r="G19" i="3"/>
  <c r="G24" i="3"/>
  <c r="C1075" i="37"/>
  <c r="D185" i="39"/>
  <c r="C1074" i="37" s="1"/>
  <c r="G1006" i="37"/>
  <c r="H1006" i="37"/>
  <c r="G949" i="37"/>
  <c r="H949" i="37"/>
  <c r="G1867" i="37"/>
  <c r="G65" i="37"/>
  <c r="G1547" i="37"/>
  <c r="H172" i="37"/>
  <c r="D19" i="37"/>
  <c r="G1623" i="37"/>
  <c r="C1585" i="37"/>
  <c r="K170" i="3"/>
  <c r="H528" i="37"/>
  <c r="G213" i="37"/>
  <c r="H1424" i="37"/>
  <c r="H439" i="37"/>
  <c r="H170" i="37"/>
  <c r="H537" i="37"/>
  <c r="G1608" i="37"/>
  <c r="H1537" i="37"/>
  <c r="G226" i="37"/>
  <c r="F29" i="1"/>
  <c r="H167" i="3"/>
  <c r="I173" i="3"/>
  <c r="I167" i="3"/>
  <c r="K169" i="3"/>
  <c r="H170" i="3"/>
  <c r="C1409" i="37"/>
  <c r="F491" i="1"/>
  <c r="K173" i="3"/>
  <c r="G1345" i="37"/>
  <c r="D373" i="1"/>
  <c r="E13" i="1"/>
  <c r="D534" i="37"/>
  <c r="F212" i="1"/>
  <c r="G1876" i="37"/>
  <c r="H1530" i="37"/>
  <c r="F73" i="27"/>
  <c r="H1639" i="37"/>
  <c r="D45" i="33"/>
  <c r="H1389" i="37"/>
  <c r="G901" i="37"/>
  <c r="G1081" i="37"/>
  <c r="G444" i="37"/>
  <c r="G1890" i="37"/>
  <c r="G243" i="37"/>
  <c r="E189" i="1"/>
  <c r="D179" i="37" s="1"/>
  <c r="E208" i="1"/>
  <c r="D198" i="37" s="1"/>
  <c r="G865" i="37"/>
  <c r="J56" i="42"/>
  <c r="C49" i="37"/>
  <c r="F59" i="1"/>
  <c r="C62" i="37"/>
  <c r="F72" i="1"/>
  <c r="H77" i="37"/>
  <c r="G77" i="37"/>
  <c r="H168" i="3"/>
  <c r="C116" i="37"/>
  <c r="H207" i="37"/>
  <c r="G207" i="37"/>
  <c r="H229" i="37"/>
  <c r="H258" i="37"/>
  <c r="C271" i="37"/>
  <c r="F282" i="1"/>
  <c r="D276" i="1"/>
  <c r="G298" i="37"/>
  <c r="H298" i="37"/>
  <c r="G317" i="37"/>
  <c r="H317" i="37"/>
  <c r="G343" i="37"/>
  <c r="C363" i="37"/>
  <c r="F374" i="1"/>
  <c r="D1394" i="37"/>
  <c r="E96" i="36"/>
  <c r="D1384" i="37" s="1"/>
  <c r="H1305" i="37"/>
  <c r="G1305" i="37"/>
  <c r="G1402" i="37"/>
  <c r="H1402" i="37"/>
  <c r="D39" i="50"/>
  <c r="F19" i="50"/>
  <c r="H1672" i="37"/>
  <c r="G1672" i="37"/>
  <c r="C1785" i="37"/>
  <c r="D30" i="30"/>
  <c r="C1027" i="37"/>
  <c r="D137" i="39"/>
  <c r="D113" i="39"/>
  <c r="C1002" i="37" s="1"/>
  <c r="G1168" i="37"/>
  <c r="H1168" i="37"/>
  <c r="G1417" i="37"/>
  <c r="G1096" i="37"/>
  <c r="G152" i="37"/>
  <c r="G202" i="37"/>
  <c r="C301" i="37"/>
  <c r="E12" i="33"/>
  <c r="C527" i="37"/>
  <c r="H1345" i="37"/>
  <c r="H1601" i="37"/>
  <c r="F203" i="1"/>
  <c r="D382" i="37"/>
  <c r="G338" i="37"/>
  <c r="H169" i="3"/>
  <c r="C479" i="37"/>
  <c r="D125" i="1"/>
  <c r="F126" i="1"/>
  <c r="F114" i="36"/>
  <c r="H1824" i="37"/>
  <c r="F584" i="1"/>
  <c r="D18" i="27"/>
  <c r="F89" i="36"/>
  <c r="F357" i="1"/>
  <c r="H210" i="37"/>
  <c r="F440" i="1"/>
  <c r="G232" i="37"/>
  <c r="D330" i="1"/>
  <c r="H738" i="37"/>
  <c r="E18" i="27"/>
  <c r="F132" i="27"/>
  <c r="I1475" i="37"/>
  <c r="G258" i="37"/>
  <c r="F102" i="50"/>
  <c r="E446" i="1"/>
  <c r="D434" i="37" s="1"/>
  <c r="J66" i="42"/>
  <c r="E235" i="1"/>
  <c r="F152" i="1"/>
  <c r="I169" i="3"/>
  <c r="G367" i="37"/>
  <c r="H297" i="37"/>
  <c r="G69" i="37"/>
  <c r="C97" i="37"/>
  <c r="D101" i="1"/>
  <c r="H112" i="37"/>
  <c r="H131" i="37"/>
  <c r="F145" i="1"/>
  <c r="E144" i="1"/>
  <c r="H142" i="37"/>
  <c r="H180" i="37"/>
  <c r="G180" i="37"/>
  <c r="F232" i="1"/>
  <c r="E228" i="1"/>
  <c r="H244" i="37"/>
  <c r="C254" i="37"/>
  <c r="H254" i="37" s="1"/>
  <c r="F265" i="1"/>
  <c r="C292" i="37"/>
  <c r="F303" i="1"/>
  <c r="F371" i="1"/>
  <c r="D370" i="1"/>
  <c r="G369" i="37"/>
  <c r="H371" i="37"/>
  <c r="G371" i="37"/>
  <c r="D615" i="1"/>
  <c r="C382" i="37"/>
  <c r="G435" i="37"/>
  <c r="H435" i="37"/>
  <c r="G498" i="37"/>
  <c r="H498" i="37"/>
  <c r="D550" i="37"/>
  <c r="E552" i="1"/>
  <c r="F604" i="1"/>
  <c r="C592" i="37"/>
  <c r="H1413" i="37"/>
  <c r="G1462" i="37"/>
  <c r="H1462" i="37"/>
  <c r="C1108" i="37"/>
  <c r="D236" i="39"/>
  <c r="C1125" i="37" s="1"/>
  <c r="H912" i="37"/>
  <c r="G912" i="37"/>
  <c r="G1526" i="37"/>
  <c r="D552" i="1"/>
  <c r="D433" i="1"/>
  <c r="H1331" i="37"/>
  <c r="H545" i="37"/>
  <c r="H166" i="3"/>
  <c r="E42" i="36"/>
  <c r="E101" i="1"/>
  <c r="D91" i="37" s="1"/>
  <c r="G33" i="37"/>
  <c r="H33" i="37"/>
  <c r="H92" i="37"/>
  <c r="G92" i="37"/>
  <c r="H109" i="37"/>
  <c r="D160" i="37"/>
  <c r="F170" i="1"/>
  <c r="H199" i="37"/>
  <c r="G199" i="37"/>
  <c r="C237" i="37"/>
  <c r="F247" i="1"/>
  <c r="H279" i="37"/>
  <c r="G279" i="37"/>
  <c r="J170" i="3"/>
  <c r="C365" i="37"/>
  <c r="F376" i="1"/>
  <c r="D399" i="37"/>
  <c r="E398" i="1"/>
  <c r="F505" i="1"/>
  <c r="C493" i="37"/>
  <c r="D504" i="1"/>
  <c r="H565" i="37"/>
  <c r="G565" i="37"/>
  <c r="D563" i="37"/>
  <c r="G563" i="37" s="1"/>
  <c r="E565" i="1"/>
  <c r="D553" i="37" s="1"/>
  <c r="H1439" i="37"/>
  <c r="G1439" i="37"/>
  <c r="C1455" i="37"/>
  <c r="D29" i="33"/>
  <c r="H1870" i="37"/>
  <c r="G1870" i="37"/>
  <c r="G1939" i="37"/>
  <c r="H1939" i="37"/>
  <c r="D1687" i="37"/>
  <c r="G1687" i="37" s="1"/>
  <c r="F218" i="27"/>
  <c r="E217" i="27"/>
  <c r="H1819" i="37"/>
  <c r="G1819" i="37"/>
  <c r="G1080" i="37"/>
  <c r="H1080" i="37"/>
  <c r="H1059" i="37"/>
  <c r="G1059" i="37"/>
  <c r="H1961" i="37"/>
  <c r="G1961" i="37"/>
  <c r="H572" i="37"/>
  <c r="H422" i="37"/>
  <c r="H1385" i="37"/>
  <c r="G1064" i="37"/>
  <c r="G974" i="37"/>
  <c r="H974" i="37"/>
  <c r="B7" i="39"/>
  <c r="B7" i="30"/>
  <c r="F300" i="1"/>
  <c r="H1361" i="37"/>
  <c r="E318" i="3"/>
  <c r="G1973" i="37"/>
  <c r="G1969" i="37"/>
  <c r="G1795" i="37"/>
  <c r="G1645" i="37"/>
  <c r="G1616" i="37"/>
  <c r="G1595" i="37"/>
  <c r="G1571" i="37"/>
  <c r="G1532" i="37"/>
  <c r="G1411" i="37"/>
  <c r="G1393" i="37"/>
  <c r="G1363" i="37"/>
  <c r="G1319" i="37"/>
  <c r="G1306" i="37"/>
  <c r="G1286" i="37"/>
  <c r="G1193" i="37"/>
  <c r="G1166" i="37"/>
  <c r="G976" i="37"/>
  <c r="G914" i="37"/>
  <c r="G505" i="37"/>
  <c r="E301" i="3"/>
  <c r="F141" i="1"/>
  <c r="F75" i="1"/>
  <c r="G1959" i="37"/>
  <c r="G1929" i="37"/>
  <c r="G1227" i="37"/>
  <c r="G1102" i="37"/>
  <c r="G1028" i="37"/>
  <c r="G1022" i="37"/>
  <c r="G1953" i="37"/>
  <c r="G1759" i="37"/>
  <c r="G1346" i="37"/>
  <c r="G1078" i="37"/>
  <c r="G1035" i="37"/>
  <c r="G966" i="37"/>
  <c r="G938" i="37"/>
  <c r="G933" i="37"/>
  <c r="G273" i="37"/>
  <c r="G67" i="37"/>
  <c r="G53" i="37"/>
  <c r="G27" i="37"/>
  <c r="H1975" i="37"/>
  <c r="H1948" i="37"/>
  <c r="H1936" i="37"/>
  <c r="H908" i="37"/>
  <c r="H1480" i="37"/>
  <c r="G1480" i="37"/>
  <c r="H1477" i="37"/>
  <c r="I1477" i="37" s="1"/>
  <c r="H1456" i="37"/>
  <c r="I1456" i="37" s="1"/>
  <c r="H1448" i="37"/>
  <c r="G1448" i="37"/>
  <c r="H1968" i="37"/>
  <c r="H1942" i="37"/>
  <c r="G1440" i="37"/>
  <c r="I1440" i="37" s="1"/>
  <c r="G1735" i="37"/>
  <c r="H1887" i="37"/>
  <c r="H1910" i="37"/>
  <c r="H1463" i="37"/>
  <c r="I1463" i="37" s="1"/>
  <c r="H1444" i="37"/>
  <c r="I1444" i="37" s="1"/>
  <c r="H1726" i="37"/>
  <c r="H1704" i="37"/>
  <c r="H1921" i="37"/>
  <c r="H1898" i="37"/>
  <c r="H1855" i="37"/>
  <c r="G1649" i="37"/>
  <c r="G1642" i="37"/>
  <c r="H1594" i="37"/>
  <c r="G1586" i="37"/>
  <c r="H1562" i="37"/>
  <c r="H1539" i="37"/>
  <c r="H1523" i="37"/>
  <c r="H1512" i="37"/>
  <c r="H1490" i="37"/>
  <c r="H1367" i="37"/>
  <c r="H1475" i="37"/>
  <c r="G1453" i="37"/>
  <c r="I1453" i="37" s="1"/>
  <c r="H1718" i="37"/>
  <c r="H1909" i="37"/>
  <c r="H1883" i="37"/>
  <c r="H1675" i="37"/>
  <c r="G1634" i="37"/>
  <c r="G1589" i="37"/>
  <c r="H1568" i="37"/>
  <c r="H1559" i="37"/>
  <c r="H1535" i="37"/>
  <c r="H1501" i="37"/>
  <c r="H1421" i="37"/>
  <c r="H1306" i="37"/>
  <c r="H1426" i="37"/>
  <c r="H1357" i="37"/>
  <c r="H1310" i="37"/>
  <c r="H1432" i="37"/>
  <c r="H1404" i="37"/>
  <c r="H1374" i="37"/>
  <c r="H1336" i="37"/>
  <c r="H839" i="37"/>
  <c r="H845" i="37"/>
  <c r="G731" i="37"/>
  <c r="G1302" i="37"/>
  <c r="H879" i="37"/>
  <c r="H824" i="37"/>
  <c r="H806" i="37"/>
  <c r="H798" i="37"/>
  <c r="H767" i="37"/>
  <c r="H696" i="37"/>
  <c r="H107" i="37"/>
  <c r="G80" i="37"/>
  <c r="H883" i="37"/>
  <c r="H795" i="37"/>
  <c r="H764" i="37"/>
  <c r="H707" i="37"/>
  <c r="H617" i="37"/>
  <c r="H465" i="37"/>
  <c r="H436" i="37"/>
  <c r="G419" i="37"/>
  <c r="H372" i="37"/>
  <c r="H327" i="37"/>
  <c r="H295" i="37"/>
  <c r="H276" i="37"/>
  <c r="H248" i="37"/>
  <c r="H165" i="37"/>
  <c r="G145" i="37"/>
  <c r="H38" i="37"/>
  <c r="H29" i="37"/>
  <c r="H887" i="37"/>
  <c r="H870" i="37"/>
  <c r="H835" i="37"/>
  <c r="H803" i="37"/>
  <c r="H778" i="37"/>
  <c r="H743" i="37"/>
  <c r="G740" i="37"/>
  <c r="H727" i="37"/>
  <c r="H710" i="37"/>
  <c r="H557" i="37"/>
  <c r="H533" i="37"/>
  <c r="H511" i="37"/>
  <c r="H462" i="37"/>
  <c r="G394" i="37"/>
  <c r="H391" i="37"/>
  <c r="H323" i="37"/>
  <c r="H197" i="37"/>
  <c r="H18" i="37"/>
  <c r="E142" i="3"/>
  <c r="B142" i="3" s="1"/>
  <c r="H716" i="37"/>
  <c r="H686" i="37"/>
  <c r="H614" i="37"/>
  <c r="H556" i="37"/>
  <c r="H510" i="37"/>
  <c r="H461" i="37"/>
  <c r="H433" i="37"/>
  <c r="H402" i="37"/>
  <c r="H348" i="37"/>
  <c r="H307" i="37"/>
  <c r="H280" i="37"/>
  <c r="H264" i="37"/>
  <c r="H224" i="37"/>
  <c r="H183" i="37"/>
  <c r="H138" i="37"/>
  <c r="H86" i="37"/>
  <c r="H32" i="37"/>
  <c r="E150" i="3"/>
  <c r="B150" i="3" s="1"/>
  <c r="G1755" i="37" l="1"/>
  <c r="H1755" i="37"/>
  <c r="G1750" i="37"/>
  <c r="C1654" i="37"/>
  <c r="D158" i="27"/>
  <c r="C1627" i="37" s="1"/>
  <c r="E158" i="27"/>
  <c r="G1655" i="37"/>
  <c r="G1638" i="37"/>
  <c r="G1646" i="37"/>
  <c r="H1646" i="37"/>
  <c r="H1638" i="37"/>
  <c r="C1584" i="37"/>
  <c r="F115" i="27"/>
  <c r="E72" i="27"/>
  <c r="D1541" i="37" s="1"/>
  <c r="F84" i="27"/>
  <c r="C1553" i="37"/>
  <c r="H1503" i="37"/>
  <c r="G1503" i="37"/>
  <c r="G1483" i="37"/>
  <c r="H1483" i="37"/>
  <c r="G979" i="37"/>
  <c r="E5" i="3"/>
  <c r="B5" i="3" s="1"/>
  <c r="G995" i="37"/>
  <c r="F121" i="36"/>
  <c r="K51" i="42"/>
  <c r="G1410" i="37"/>
  <c r="H1384" i="37"/>
  <c r="G1384" i="37"/>
  <c r="J49" i="42"/>
  <c r="D148" i="36"/>
  <c r="C1436" i="37" s="1"/>
  <c r="G1317" i="37"/>
  <c r="G1301" i="37"/>
  <c r="H975" i="37"/>
  <c r="D48" i="30"/>
  <c r="C1792" i="37" s="1"/>
  <c r="H448" i="37"/>
  <c r="H351" i="37"/>
  <c r="H253" i="37"/>
  <c r="G219" i="37"/>
  <c r="F216" i="1"/>
  <c r="E17" i="3"/>
  <c r="B17" i="3" s="1"/>
  <c r="H1040" i="37"/>
  <c r="H541" i="37"/>
  <c r="H453" i="37"/>
  <c r="G441" i="37"/>
  <c r="H441" i="37"/>
  <c r="C434" i="37"/>
  <c r="H434" i="37" s="1"/>
  <c r="C386" i="37"/>
  <c r="H384" i="37"/>
  <c r="H353" i="37"/>
  <c r="E263" i="1"/>
  <c r="D252" i="37" s="1"/>
  <c r="G198" i="37"/>
  <c r="G168" i="3"/>
  <c r="E168" i="3" s="1"/>
  <c r="B168" i="3" s="1"/>
  <c r="G108" i="37"/>
  <c r="F118" i="1"/>
  <c r="F50" i="1"/>
  <c r="C40" i="37"/>
  <c r="H13" i="37"/>
  <c r="H1687" i="37"/>
  <c r="C1685" i="37"/>
  <c r="F131" i="27"/>
  <c r="C1600" i="37"/>
  <c r="D72" i="27"/>
  <c r="C1541" i="37" s="1"/>
  <c r="G1542" i="37"/>
  <c r="H1488" i="37"/>
  <c r="G1488" i="37"/>
  <c r="H1308" i="37"/>
  <c r="G1308" i="37"/>
  <c r="K48" i="42"/>
  <c r="D1300" i="37"/>
  <c r="G1300" i="37" s="1"/>
  <c r="G956" i="37"/>
  <c r="C1798" i="37"/>
  <c r="G1798" i="37" s="1"/>
  <c r="G1757" i="37"/>
  <c r="H1124" i="37"/>
  <c r="H1083" i="37"/>
  <c r="G1083" i="37"/>
  <c r="H983" i="37"/>
  <c r="G962" i="37"/>
  <c r="H923" i="37"/>
  <c r="H924" i="37"/>
  <c r="G924" i="37"/>
  <c r="G911" i="37"/>
  <c r="H648" i="37"/>
  <c r="G648" i="37"/>
  <c r="F661" i="1"/>
  <c r="G604" i="37"/>
  <c r="H604" i="37"/>
  <c r="C585" i="37"/>
  <c r="H585" i="37" s="1"/>
  <c r="F565" i="1"/>
  <c r="G519" i="37"/>
  <c r="H519" i="37"/>
  <c r="C478" i="37"/>
  <c r="F490" i="1"/>
  <c r="G171" i="3"/>
  <c r="E171" i="3" s="1"/>
  <c r="B171" i="3" s="1"/>
  <c r="F616" i="1"/>
  <c r="D362" i="37"/>
  <c r="G354" i="37"/>
  <c r="G36" i="3"/>
  <c r="C305" i="37"/>
  <c r="G305" i="37" s="1"/>
  <c r="F35" i="3"/>
  <c r="G35" i="3"/>
  <c r="E315" i="1"/>
  <c r="D304" i="37" s="1"/>
  <c r="F316" i="1"/>
  <c r="G254" i="37"/>
  <c r="G253" i="37"/>
  <c r="C206" i="37"/>
  <c r="H185" i="37"/>
  <c r="F32" i="3"/>
  <c r="E32" i="3" s="1"/>
  <c r="B32" i="3" s="1"/>
  <c r="C146" i="37"/>
  <c r="F156" i="1"/>
  <c r="F28" i="3"/>
  <c r="E28" i="3" s="1"/>
  <c r="B28" i="3" s="1"/>
  <c r="D143" i="1"/>
  <c r="C133" i="37" s="1"/>
  <c r="C120" i="37"/>
  <c r="G120" i="37" s="1"/>
  <c r="H104" i="37"/>
  <c r="E174" i="3"/>
  <c r="F78" i="1"/>
  <c r="F58" i="1"/>
  <c r="G46" i="37"/>
  <c r="H46" i="37"/>
  <c r="G173" i="3"/>
  <c r="E173" i="3" s="1"/>
  <c r="B173" i="3" s="1"/>
  <c r="G166" i="3"/>
  <c r="E166" i="3" s="1"/>
  <c r="B166" i="3" s="1"/>
  <c r="C1454" i="37"/>
  <c r="D12" i="33"/>
  <c r="J54" i="42"/>
  <c r="H553" i="37"/>
  <c r="G553" i="37"/>
  <c r="C492" i="37"/>
  <c r="F504" i="1"/>
  <c r="D503" i="1"/>
  <c r="H399" i="37"/>
  <c r="G399" i="37"/>
  <c r="D1330" i="37"/>
  <c r="K49" i="42"/>
  <c r="C421" i="37"/>
  <c r="F433" i="1"/>
  <c r="D397" i="1"/>
  <c r="H1108" i="37"/>
  <c r="G1108" i="37"/>
  <c r="G592" i="37"/>
  <c r="H592" i="37"/>
  <c r="G382" i="37"/>
  <c r="H382" i="37"/>
  <c r="G292" i="37"/>
  <c r="H292" i="37"/>
  <c r="D218" i="37"/>
  <c r="F228" i="1"/>
  <c r="F235" i="1"/>
  <c r="D225" i="37"/>
  <c r="F42" i="36"/>
  <c r="C319" i="37"/>
  <c r="F330" i="1"/>
  <c r="F36" i="3"/>
  <c r="G479" i="37"/>
  <c r="H479" i="37"/>
  <c r="C1774" i="37"/>
  <c r="D47" i="30"/>
  <c r="H62" i="37"/>
  <c r="G62" i="37"/>
  <c r="G179" i="37"/>
  <c r="H179" i="37"/>
  <c r="J55" i="42"/>
  <c r="C1470" i="37"/>
  <c r="H1074" i="37"/>
  <c r="G1074" i="37"/>
  <c r="H466" i="37"/>
  <c r="G466" i="37"/>
  <c r="H198" i="37"/>
  <c r="B301" i="3"/>
  <c r="B318" i="3"/>
  <c r="E315" i="3"/>
  <c r="D1686" i="37"/>
  <c r="E216" i="27"/>
  <c r="G1455" i="37"/>
  <c r="H1455" i="37"/>
  <c r="H493" i="37"/>
  <c r="G493" i="37"/>
  <c r="F552" i="1"/>
  <c r="C540" i="37"/>
  <c r="C603" i="37"/>
  <c r="F615" i="1"/>
  <c r="C359" i="37"/>
  <c r="F370" i="1"/>
  <c r="E143" i="1"/>
  <c r="D134" i="37"/>
  <c r="F31" i="3"/>
  <c r="E31" i="3" s="1"/>
  <c r="B31" i="3" s="1"/>
  <c r="F144" i="1"/>
  <c r="F101" i="1"/>
  <c r="C91" i="37"/>
  <c r="G527" i="37"/>
  <c r="H527" i="37"/>
  <c r="H1002" i="37"/>
  <c r="G1002" i="37"/>
  <c r="H1785" i="37"/>
  <c r="G1785" i="37"/>
  <c r="C1877" i="37"/>
  <c r="F39" i="50"/>
  <c r="G363" i="37"/>
  <c r="H363" i="37"/>
  <c r="H271" i="37"/>
  <c r="G271" i="37"/>
  <c r="G534" i="37"/>
  <c r="H534" i="37"/>
  <c r="H1409" i="37"/>
  <c r="G1409" i="37"/>
  <c r="F208" i="1"/>
  <c r="G1075" i="37"/>
  <c r="H1075" i="37"/>
  <c r="G485" i="37"/>
  <c r="H485" i="37"/>
  <c r="H563" i="37"/>
  <c r="F217" i="27"/>
  <c r="G365" i="37"/>
  <c r="H365" i="37"/>
  <c r="D540" i="37"/>
  <c r="E503" i="1"/>
  <c r="H97" i="37"/>
  <c r="G97" i="37"/>
  <c r="F18" i="27"/>
  <c r="D13" i="27"/>
  <c r="C1487" i="37"/>
  <c r="G169" i="3"/>
  <c r="E169" i="3" s="1"/>
  <c r="B169" i="3" s="1"/>
  <c r="G1654" i="37"/>
  <c r="H1654" i="37"/>
  <c r="D1437" i="37"/>
  <c r="K53" i="42"/>
  <c r="C1026" i="37"/>
  <c r="D136" i="39"/>
  <c r="H49" i="37"/>
  <c r="G49" i="37"/>
  <c r="D3" i="37"/>
  <c r="F13" i="1"/>
  <c r="E12" i="1"/>
  <c r="G170" i="3"/>
  <c r="E170" i="3" s="1"/>
  <c r="B170" i="3" s="1"/>
  <c r="G167" i="3"/>
  <c r="E167" i="3" s="1"/>
  <c r="B167" i="3" s="1"/>
  <c r="D21" i="39"/>
  <c r="H1585" i="37"/>
  <c r="G1585" i="37"/>
  <c r="G19" i="37"/>
  <c r="H19" i="37"/>
  <c r="F96" i="36"/>
  <c r="E148" i="36"/>
  <c r="G1519" i="37"/>
  <c r="H1519" i="37"/>
  <c r="C447" i="37"/>
  <c r="F459" i="1"/>
  <c r="G431" i="37"/>
  <c r="H431" i="37"/>
  <c r="I1448" i="37"/>
  <c r="F268" i="3" s="1"/>
  <c r="E268" i="3" s="1"/>
  <c r="B268" i="3" s="1"/>
  <c r="I1480" i="37"/>
  <c r="D386" i="37"/>
  <c r="E397" i="1"/>
  <c r="G237" i="37"/>
  <c r="H237" i="37"/>
  <c r="H160" i="37"/>
  <c r="G160" i="37"/>
  <c r="H68" i="37"/>
  <c r="G68" i="37"/>
  <c r="H1125" i="37"/>
  <c r="G1125" i="37"/>
  <c r="G550" i="37"/>
  <c r="H550" i="37"/>
  <c r="E13" i="27"/>
  <c r="D1487" i="37"/>
  <c r="C115" i="37"/>
  <c r="F125" i="1"/>
  <c r="D315" i="1"/>
  <c r="G301" i="37"/>
  <c r="H301" i="37"/>
  <c r="H1027" i="37"/>
  <c r="G1027" i="37"/>
  <c r="G1394" i="37"/>
  <c r="H1394" i="37"/>
  <c r="C265" i="37"/>
  <c r="F276" i="1"/>
  <c r="D263" i="1"/>
  <c r="H116" i="37"/>
  <c r="G116" i="37"/>
  <c r="F189" i="1"/>
  <c r="F373" i="1"/>
  <c r="F37" i="3"/>
  <c r="E37" i="3" s="1"/>
  <c r="B37" i="3" s="1"/>
  <c r="C362" i="37"/>
  <c r="D12" i="1"/>
  <c r="G48" i="37"/>
  <c r="H48" i="37"/>
  <c r="G172" i="3"/>
  <c r="E172" i="3" s="1"/>
  <c r="B172" i="3" s="1"/>
  <c r="F158" i="27" l="1"/>
  <c r="D157" i="27"/>
  <c r="C1626" i="37" s="1"/>
  <c r="D1627" i="37"/>
  <c r="G1627" i="37" s="1"/>
  <c r="H1627" i="37"/>
  <c r="G1584" i="37"/>
  <c r="H1584" i="37"/>
  <c r="H1553" i="37"/>
  <c r="G1553" i="37"/>
  <c r="J52" i="42"/>
  <c r="F148" i="36"/>
  <c r="H1300" i="37"/>
  <c r="K63" i="42"/>
  <c r="G585" i="37"/>
  <c r="G434" i="37"/>
  <c r="H305" i="37"/>
  <c r="H120" i="37"/>
  <c r="G40" i="37"/>
  <c r="H40" i="37"/>
  <c r="F72" i="27"/>
  <c r="H1600" i="37"/>
  <c r="G1600" i="37"/>
  <c r="H1798" i="37"/>
  <c r="G478" i="37"/>
  <c r="H478" i="37"/>
  <c r="E36" i="3"/>
  <c r="B36" i="3" s="1"/>
  <c r="E35" i="3"/>
  <c r="B35" i="3" s="1"/>
  <c r="E384" i="1"/>
  <c r="D373" i="37" s="1"/>
  <c r="E385" i="1"/>
  <c r="D374" i="37" s="1"/>
  <c r="G206" i="37"/>
  <c r="H206" i="37"/>
  <c r="D255" i="1"/>
  <c r="D390" i="1" s="1"/>
  <c r="G21" i="3" s="1"/>
  <c r="H146" i="37"/>
  <c r="G146" i="37"/>
  <c r="H1541" i="37"/>
  <c r="G1541" i="37"/>
  <c r="D205" i="39"/>
  <c r="C1094" i="37" s="1"/>
  <c r="C1025" i="37"/>
  <c r="D206" i="39"/>
  <c r="C1095" i="37" s="1"/>
  <c r="F13" i="27"/>
  <c r="C1482" i="37"/>
  <c r="D12" i="27"/>
  <c r="G1877" i="37"/>
  <c r="H1877" i="37"/>
  <c r="F314" i="3" s="1"/>
  <c r="E314" i="3" s="1"/>
  <c r="B37" i="42"/>
  <c r="E255" i="1"/>
  <c r="D133" i="37"/>
  <c r="F143" i="1"/>
  <c r="H603" i="37"/>
  <c r="G603" i="37"/>
  <c r="G1686" i="37"/>
  <c r="H1686" i="37"/>
  <c r="G319" i="37"/>
  <c r="H319" i="37"/>
  <c r="H1454" i="37"/>
  <c r="G1454" i="37"/>
  <c r="G115" i="37"/>
  <c r="H115" i="37"/>
  <c r="G447" i="37"/>
  <c r="H447" i="37"/>
  <c r="E389" i="1"/>
  <c r="D2" i="37"/>
  <c r="H1026" i="37"/>
  <c r="G1026" i="37"/>
  <c r="G540" i="37"/>
  <c r="H540" i="37"/>
  <c r="H218" i="37"/>
  <c r="G218" i="37"/>
  <c r="D608" i="1"/>
  <c r="C491" i="37"/>
  <c r="F503" i="1"/>
  <c r="D384" i="1"/>
  <c r="C252" i="37"/>
  <c r="F263" i="1"/>
  <c r="E607" i="1"/>
  <c r="D595" i="37" s="1"/>
  <c r="D385" i="37"/>
  <c r="D129" i="39"/>
  <c r="C910" i="37"/>
  <c r="D130" i="39"/>
  <c r="G359" i="37"/>
  <c r="H359" i="37"/>
  <c r="G225" i="37"/>
  <c r="H225" i="37"/>
  <c r="C385" i="37"/>
  <c r="D607" i="1"/>
  <c r="F397" i="1"/>
  <c r="B29" i="42"/>
  <c r="H1330" i="37"/>
  <c r="G1330" i="37"/>
  <c r="C2" i="37"/>
  <c r="D389" i="1"/>
  <c r="F12" i="1"/>
  <c r="D385" i="1"/>
  <c r="C304" i="37"/>
  <c r="F315" i="1"/>
  <c r="E12" i="27"/>
  <c r="D1482" i="37"/>
  <c r="G386" i="37"/>
  <c r="H386" i="37"/>
  <c r="H3" i="37"/>
  <c r="G3" i="37"/>
  <c r="H1487" i="37"/>
  <c r="G1487" i="37"/>
  <c r="G1792" i="37"/>
  <c r="H1792" i="37"/>
  <c r="H91" i="37"/>
  <c r="G91" i="37"/>
  <c r="G134" i="37"/>
  <c r="H134" i="37"/>
  <c r="F216" i="27"/>
  <c r="D1685" i="37"/>
  <c r="E157" i="27"/>
  <c r="H1470" i="37"/>
  <c r="G1470" i="37"/>
  <c r="K62" i="42"/>
  <c r="F264" i="3"/>
  <c r="E264" i="3" s="1"/>
  <c r="B264" i="3" s="1"/>
  <c r="C1791" i="37"/>
  <c r="B35" i="42" s="1"/>
  <c r="H492" i="37"/>
  <c r="G492" i="37"/>
  <c r="J53" i="42"/>
  <c r="C1437" i="37"/>
  <c r="G362" i="37"/>
  <c r="H362" i="37"/>
  <c r="H265" i="37"/>
  <c r="G265" i="37"/>
  <c r="D1436" i="37"/>
  <c r="H1436" i="37" s="1"/>
  <c r="K52" i="42"/>
  <c r="E608" i="1"/>
  <c r="D596" i="37" s="1"/>
  <c r="D491" i="37"/>
  <c r="G1774" i="37"/>
  <c r="H1774" i="37"/>
  <c r="G421" i="37"/>
  <c r="H421" i="37"/>
  <c r="F321" i="3" l="1"/>
  <c r="E321" i="3" s="1"/>
  <c r="B321" i="3" s="1"/>
  <c r="G1436" i="37"/>
  <c r="D257" i="1"/>
  <c r="C247" i="37" s="1"/>
  <c r="D256" i="1"/>
  <c r="C246" i="37" s="1"/>
  <c r="C379" i="37"/>
  <c r="D612" i="1"/>
  <c r="C600" i="37" s="1"/>
  <c r="C245" i="37"/>
  <c r="L11" i="37"/>
  <c r="K7" i="37"/>
  <c r="N2" i="3"/>
  <c r="L10" i="37"/>
  <c r="G1437" i="37"/>
  <c r="H1437" i="37"/>
  <c r="H1685" i="37"/>
  <c r="G1685" i="37"/>
  <c r="G385" i="37"/>
  <c r="H385" i="37"/>
  <c r="C373" i="37"/>
  <c r="F384" i="1"/>
  <c r="C596" i="37"/>
  <c r="F608" i="1"/>
  <c r="E257" i="1"/>
  <c r="D247" i="37" s="1"/>
  <c r="D245" i="37"/>
  <c r="E390" i="1"/>
  <c r="F255" i="1"/>
  <c r="J57" i="42"/>
  <c r="F238" i="3"/>
  <c r="C1481" i="37"/>
  <c r="F12" i="27"/>
  <c r="F242" i="3"/>
  <c r="E242" i="3" s="1"/>
  <c r="B242" i="3" s="1"/>
  <c r="H1025" i="37"/>
  <c r="G1025" i="37"/>
  <c r="G304" i="37"/>
  <c r="H304" i="37"/>
  <c r="F389" i="1"/>
  <c r="D611" i="1"/>
  <c r="D391" i="1"/>
  <c r="C378" i="37"/>
  <c r="L4" i="37"/>
  <c r="K4" i="37"/>
  <c r="K2" i="3"/>
  <c r="D238" i="39"/>
  <c r="C1019" i="37"/>
  <c r="O2" i="3"/>
  <c r="L9" i="37"/>
  <c r="K9" i="37"/>
  <c r="E37" i="42"/>
  <c r="H1482" i="37"/>
  <c r="G1482" i="37"/>
  <c r="H1094" i="37"/>
  <c r="G1094" i="37"/>
  <c r="H1791" i="37"/>
  <c r="F262" i="3" s="1"/>
  <c r="E262" i="3" s="1"/>
  <c r="G1791" i="37"/>
  <c r="F385" i="1"/>
  <c r="C374" i="37"/>
  <c r="H2" i="37"/>
  <c r="G2" i="37"/>
  <c r="H910" i="37"/>
  <c r="G910" i="37"/>
  <c r="D378" i="37"/>
  <c r="E611" i="1"/>
  <c r="B314" i="3"/>
  <c r="E300" i="3"/>
  <c r="F263" i="3"/>
  <c r="E263" i="3" s="1"/>
  <c r="B263" i="3" s="1"/>
  <c r="D1626" i="37"/>
  <c r="F157" i="27"/>
  <c r="G238" i="3"/>
  <c r="D1481" i="37"/>
  <c r="K57" i="42"/>
  <c r="F320" i="3"/>
  <c r="E320" i="3" s="1"/>
  <c r="F607" i="1"/>
  <c r="C595" i="37"/>
  <c r="C1018" i="37"/>
  <c r="D237" i="39"/>
  <c r="H252" i="37"/>
  <c r="G252" i="37"/>
  <c r="D392" i="1"/>
  <c r="G491" i="37"/>
  <c r="H491" i="37"/>
  <c r="E256" i="1"/>
  <c r="D246" i="37" s="1"/>
  <c r="G133" i="37"/>
  <c r="H133" i="37"/>
  <c r="G1095" i="37"/>
  <c r="H1095" i="37"/>
  <c r="E238" i="3" l="1"/>
  <c r="B238" i="3" s="1"/>
  <c r="F256" i="1"/>
  <c r="J41" i="42"/>
  <c r="F257" i="1"/>
  <c r="C1126" i="37"/>
  <c r="F272" i="3"/>
  <c r="E272" i="3" s="1"/>
  <c r="B272" i="3" s="1"/>
  <c r="K44" i="42"/>
  <c r="B320" i="3"/>
  <c r="E319" i="3"/>
  <c r="E29" i="42" s="1"/>
  <c r="G1626" i="37"/>
  <c r="H1626" i="37"/>
  <c r="K40" i="42"/>
  <c r="D599" i="37"/>
  <c r="H374" i="37"/>
  <c r="G374" i="37"/>
  <c r="G1019" i="37"/>
  <c r="H1019" i="37"/>
  <c r="J40" i="42"/>
  <c r="F611" i="1"/>
  <c r="C599" i="37"/>
  <c r="D613" i="1"/>
  <c r="B33" i="42"/>
  <c r="G1481" i="37"/>
  <c r="H1481" i="37"/>
  <c r="E392" i="1"/>
  <c r="D381" i="37" s="1"/>
  <c r="H21" i="3"/>
  <c r="D379" i="37"/>
  <c r="E612" i="1"/>
  <c r="F390" i="1"/>
  <c r="H596" i="37"/>
  <c r="G596" i="37"/>
  <c r="D614" i="1"/>
  <c r="F269" i="3"/>
  <c r="E269" i="3" s="1"/>
  <c r="B269" i="3" s="1"/>
  <c r="C381" i="37"/>
  <c r="H1018" i="37"/>
  <c r="G1018" i="37"/>
  <c r="K45" i="42"/>
  <c r="C1127" i="37"/>
  <c r="G245" i="37"/>
  <c r="H245" i="37"/>
  <c r="B262" i="3"/>
  <c r="E261" i="3"/>
  <c r="E35" i="42" s="1"/>
  <c r="H595" i="37"/>
  <c r="G595" i="37"/>
  <c r="E391" i="1"/>
  <c r="D380" i="37" s="1"/>
  <c r="G378" i="37"/>
  <c r="H378" i="37"/>
  <c r="G373" i="37"/>
  <c r="H373" i="37"/>
  <c r="G246" i="37"/>
  <c r="H246" i="37"/>
  <c r="G14" i="3"/>
  <c r="G247" i="37"/>
  <c r="H247" i="37"/>
  <c r="C380" i="37"/>
  <c r="F266" i="3" l="1"/>
  <c r="E266" i="3" s="1"/>
  <c r="B266" i="3" s="1"/>
  <c r="F243" i="3"/>
  <c r="E243" i="3" s="1"/>
  <c r="B243" i="3" s="1"/>
  <c r="F273" i="3"/>
  <c r="E273" i="3" s="1"/>
  <c r="B273" i="3" s="1"/>
  <c r="F391" i="1"/>
  <c r="F392" i="1"/>
  <c r="G381" i="37"/>
  <c r="H381" i="37"/>
  <c r="M2" i="3"/>
  <c r="L6" i="37"/>
  <c r="K6" i="37"/>
  <c r="G380" i="37"/>
  <c r="H380" i="37"/>
  <c r="D617" i="1"/>
  <c r="J42" i="42"/>
  <c r="C601" i="37"/>
  <c r="G1127" i="37"/>
  <c r="H1127" i="37"/>
  <c r="C602" i="37"/>
  <c r="D618" i="1"/>
  <c r="J43" i="42"/>
  <c r="E614" i="1"/>
  <c r="F614" i="1" s="1"/>
  <c r="K41" i="42"/>
  <c r="D600" i="37"/>
  <c r="F612" i="1"/>
  <c r="G599" i="37"/>
  <c r="H599" i="37"/>
  <c r="E613" i="1"/>
  <c r="F267" i="3"/>
  <c r="E267" i="3" s="1"/>
  <c r="B267" i="3" s="1"/>
  <c r="B27" i="42"/>
  <c r="G379" i="37"/>
  <c r="H379" i="37"/>
  <c r="H1126" i="37"/>
  <c r="G1126" i="37"/>
  <c r="E237" i="3" l="1"/>
  <c r="E33" i="42" s="1"/>
  <c r="E265" i="3"/>
  <c r="E31" i="42" s="1"/>
  <c r="F271" i="3"/>
  <c r="E271" i="3" s="1"/>
  <c r="B271" i="3" s="1"/>
  <c r="C605" i="37"/>
  <c r="K42" i="42"/>
  <c r="D601" i="37"/>
  <c r="H601" i="37" s="1"/>
  <c r="E617" i="1"/>
  <c r="D605" i="37" s="1"/>
  <c r="G600" i="37"/>
  <c r="H600" i="37"/>
  <c r="C606" i="37"/>
  <c r="F613" i="1"/>
  <c r="L3" i="37"/>
  <c r="J2" i="3"/>
  <c r="O14" i="3" s="1"/>
  <c r="K3" i="37"/>
  <c r="E618" i="1"/>
  <c r="D606" i="37" s="1"/>
  <c r="K43" i="42"/>
  <c r="D602" i="37"/>
  <c r="G602" i="37" s="1"/>
  <c r="E270" i="3" l="1"/>
  <c r="E27" i="42" s="1"/>
  <c r="F20" i="3"/>
  <c r="E20" i="3" s="1"/>
  <c r="B20" i="3" s="1"/>
  <c r="G601" i="37"/>
  <c r="H602" i="37"/>
  <c r="F618" i="1"/>
  <c r="G606" i="37"/>
  <c r="H606" i="37"/>
  <c r="B25" i="42"/>
  <c r="F25" i="3"/>
  <c r="E25" i="3" s="1"/>
  <c r="B25" i="3" s="1"/>
  <c r="F164" i="3"/>
  <c r="E164" i="3" s="1"/>
  <c r="G605" i="37"/>
  <c r="H605" i="37"/>
  <c r="F617" i="1"/>
  <c r="J6" i="42" l="1"/>
  <c r="G165" i="3"/>
  <c r="F165" i="3" s="1"/>
  <c r="E165" i="3" s="1"/>
  <c r="B165" i="3" s="1"/>
  <c r="L33" i="37"/>
  <c r="B164" i="3"/>
  <c r="K34" i="37"/>
  <c r="K33" i="37"/>
  <c r="I2" i="3"/>
  <c r="K2" i="37"/>
  <c r="L2" i="37"/>
  <c r="L34" i="37"/>
  <c r="E26" i="3" l="1"/>
  <c r="E25" i="42" s="1"/>
  <c r="K11" i="3"/>
  <c r="M15" i="3"/>
  <c r="M12" i="3"/>
  <c r="I8" i="3"/>
  <c r="I10" i="3"/>
  <c r="I11" i="3"/>
  <c r="K7" i="3"/>
  <c r="M7" i="3"/>
  <c r="I14" i="3"/>
  <c r="M11" i="3"/>
  <c r="M14" i="3"/>
  <c r="K9" i="3"/>
  <c r="F21" i="3"/>
  <c r="E21" i="3" s="1"/>
  <c r="B21" i="3" s="1"/>
  <c r="K8" i="3"/>
  <c r="I13" i="3"/>
  <c r="K10" i="3"/>
  <c r="G8" i="3"/>
  <c r="K14" i="3"/>
  <c r="I15" i="3"/>
  <c r="K13" i="3"/>
  <c r="M9" i="3"/>
  <c r="K12" i="3"/>
  <c r="M13" i="3"/>
  <c r="I7" i="3"/>
  <c r="M8" i="3"/>
  <c r="I9" i="3"/>
  <c r="M10" i="3"/>
  <c r="K15" i="3"/>
  <c r="F24" i="3"/>
  <c r="E24" i="3" s="1"/>
  <c r="B24" i="3" s="1"/>
  <c r="F18" i="3"/>
  <c r="E18" i="3" s="1"/>
  <c r="F23" i="3"/>
  <c r="E23" i="3" s="1"/>
  <c r="F19" i="3"/>
  <c r="E19" i="3" s="1"/>
  <c r="B19" i="3" s="1"/>
  <c r="E12" i="3" l="1"/>
  <c r="B12" i="3" s="1"/>
  <c r="E7" i="3"/>
  <c r="B7" i="3" s="1"/>
  <c r="E9" i="3"/>
  <c r="B9" i="3" s="1"/>
  <c r="E10" i="3"/>
  <c r="B10" i="3" s="1"/>
  <c r="B18" i="3"/>
  <c r="E16" i="3"/>
  <c r="E11" i="3"/>
  <c r="B11" i="3" s="1"/>
  <c r="E8" i="3"/>
  <c r="B8" i="3" s="1"/>
  <c r="E14" i="3"/>
  <c r="B14" i="3" s="1"/>
  <c r="B23" i="3"/>
  <c r="E22" i="3"/>
  <c r="E15" i="3"/>
  <c r="B15" i="3" s="1"/>
  <c r="E13" i="3"/>
  <c r="B13" i="3" s="1"/>
  <c r="E3" i="3" l="1"/>
  <c r="E2" i="3" s="1"/>
  <c r="H37" i="42" l="1"/>
  <c r="L35" i="37"/>
  <c r="K35" i="37"/>
</calcChain>
</file>

<file path=xl/comments1.xml><?xml version="1.0" encoding="utf-8"?>
<comments xmlns="http://schemas.openxmlformats.org/spreadsheetml/2006/main">
  <authors>
    <author>Željko Strunjak</author>
  </authors>
  <commentList>
    <comment ref="A6" authorId="0" shapeId="0">
      <text>
        <r>
          <rPr>
            <b/>
            <sz val="8"/>
            <color indexed="81"/>
            <rFont val="Tahoma"/>
            <charset val="238"/>
          </rPr>
          <t>Naputak:</t>
        </r>
        <r>
          <rPr>
            <sz val="8"/>
            <color indexed="81"/>
            <rFont val="Tahoma"/>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charset val="238"/>
          </rPr>
          <t>Naputak:</t>
        </r>
        <r>
          <rPr>
            <sz val="8"/>
            <color indexed="81"/>
            <rFont val="Tahoma"/>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B31" authorId="0" shapeId="0">
      <text>
        <r>
          <rPr>
            <b/>
            <sz val="8"/>
            <color indexed="81"/>
            <rFont val="Tahoma"/>
            <charset val="238"/>
          </rPr>
          <t>Uputa:</t>
        </r>
        <r>
          <rPr>
            <sz val="8"/>
            <color indexed="81"/>
            <rFont val="Tahoma"/>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202" authorId="0" shapeId="0">
      <text>
        <r>
          <rPr>
            <b/>
            <sz val="8"/>
            <color indexed="81"/>
            <rFont val="Tahoma"/>
            <charset val="238"/>
          </rPr>
          <t>Napomena:</t>
        </r>
        <r>
          <rPr>
            <sz val="8"/>
            <color indexed="81"/>
            <rFont val="Tahoma"/>
            <charset val="238"/>
          </rPr>
          <t xml:space="preserve">
Razdjel je ugašen u 2013. godini</t>
        </r>
      </text>
    </comment>
    <comment ref="A235" authorId="0" shapeId="0">
      <text>
        <r>
          <rPr>
            <b/>
            <sz val="8"/>
            <color indexed="81"/>
            <rFont val="Tahoma"/>
            <charset val="238"/>
          </rPr>
          <t>Napomena:</t>
        </r>
        <r>
          <rPr>
            <sz val="8"/>
            <color indexed="81"/>
            <rFont val="Tahoma"/>
            <charset val="238"/>
          </rPr>
          <t xml:space="preserve">
Razdjel prestaje s radom u 2013. godini</t>
        </r>
      </text>
    </comment>
    <comment ref="A236" authorId="0" shapeId="0">
      <text>
        <r>
          <rPr>
            <b/>
            <sz val="8"/>
            <color indexed="81"/>
            <rFont val="Tahoma"/>
            <charset val="238"/>
          </rPr>
          <t>Napomena:</t>
        </r>
        <r>
          <rPr>
            <sz val="8"/>
            <color indexed="81"/>
            <rFont val="Tahoma"/>
            <charset val="238"/>
          </rPr>
          <t xml:space="preserve">
Razdjel prestaje s radom u 2013. godini</t>
        </r>
      </text>
    </comment>
    <comment ref="A237" authorId="0" shapeId="0">
      <text>
        <r>
          <rPr>
            <b/>
            <sz val="8"/>
            <color indexed="81"/>
            <rFont val="Tahoma"/>
            <charset val="238"/>
          </rPr>
          <t>Napomena:</t>
        </r>
        <r>
          <rPr>
            <sz val="8"/>
            <color indexed="81"/>
            <rFont val="Tahoma"/>
            <charset val="238"/>
          </rPr>
          <t xml:space="preserve">
Razdjel prestaje s radom u 2013. godini</t>
        </r>
      </text>
    </comment>
    <comment ref="A244" authorId="0" shapeId="0">
      <text>
        <r>
          <rPr>
            <b/>
            <sz val="8"/>
            <color indexed="81"/>
            <rFont val="Tahoma"/>
            <charset val="238"/>
          </rPr>
          <t>Napomena:</t>
        </r>
        <r>
          <rPr>
            <sz val="8"/>
            <color indexed="81"/>
            <rFont val="Tahoma"/>
            <charset val="238"/>
          </rPr>
          <t xml:space="preserve">
Razdjel počinje s radom u 2014. godini</t>
        </r>
      </text>
    </comment>
  </commentList>
</comments>
</file>

<file path=xl/sharedStrings.xml><?xml version="1.0" encoding="utf-8"?>
<sst xmlns="http://schemas.openxmlformats.org/spreadsheetml/2006/main" count="5411" uniqueCount="4520">
  <si>
    <t>AOP 083 mora biti jednak AOP 230+231 u oba stupca podataka. Dopušteno je odstupanje od 1kn zbog zaokruživanja.</t>
  </si>
  <si>
    <t>AOP 084 mora biti jednak AOP 232+233 u oba stupca podataka. Dopušteno je odstupanje od 1kn zbog zaokruživanja.</t>
  </si>
  <si>
    <t>AOP 085 mora biti jednak AOP 234+235 u oba stupca podataka. Dopušteno je odstupanje od 1kn zbog zaokruživanja.</t>
  </si>
  <si>
    <t>AOP 086 mora biti jednak AOP 236+237 u oba stupca podataka. Dopušteno je odstupanje od 1kn zbog zaokruživanja.</t>
  </si>
  <si>
    <t>AOP 087 mora biti jednak AOP 238+239 u oba stupca podataka. Dopušteno je odstupanje od 1kn zbog zaokruživanja.</t>
  </si>
  <si>
    <t>AOP 088 mora biti jednak AOP 240+241 u oba stupca podataka. Dopušteno je odstupanje od 1kn zbog zaokruživanja.</t>
  </si>
  <si>
    <t>AOP 089 mora biti jednak AOP 242+243 u oba stupca podataka. Dopušteno je odstupanje od 1kn zbog zaokruživanja.</t>
  </si>
  <si>
    <t>AOP 090 mora biti jednak AOP 244+245 u oba stupca podataka. Dopušteno je odstupanje od 1kn zbog zaokruživanja.</t>
  </si>
  <si>
    <t>AOP 091 mora biti jednak AOP 246+247 u oba stupca podataka. Dopušteno je odstupanje od 1kn zbog zaokruživanja.</t>
  </si>
  <si>
    <t>AOP 185 mora biti jednak AOP 248+249 u oba stupca podataka. Dopušteno je odstupanje od 1kn zbog zaokruživanja.</t>
  </si>
  <si>
    <t>AOP 186 mora biti jednak AOP 250+251 u oba stupca podataka. Dopušteno je odstupanje od 1kn zbog zaokruživanja.</t>
  </si>
  <si>
    <t>AOP 187 mora biti jednak AOP 252+253 u oba stupca podataka. Dopušteno je odstupanje od 1kn zbog zaokruživanja.</t>
  </si>
  <si>
    <t>AOP 188 mora biti jednak AOP 254+255 u oba stupca podataka. Dopušteno je odstupanje od 1kn zbog zaokruživanja.</t>
  </si>
  <si>
    <t>AOP 189 mora biti jednak AOP 256+257 u oba stupca podataka. Dopušteno je odstupanje od 1kn zbog zaokruživanja.</t>
  </si>
  <si>
    <t>AOP 190 mora biti jednak AOP 258+259 u oba stupca podataka. Dopušteno je odstupanje od 1kn zbog zaokruživanja.</t>
  </si>
  <si>
    <t>AOP 191 mora biti jednak AOP 260+261 u oba stupca podataka. Dopušteno je odstupanje od 1kn zbog zaokruživanja.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</si>
  <si>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</si>
  <si>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</si>
  <si>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</si>
  <si>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</si>
  <si>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</si>
  <si>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</si>
  <si>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</si>
  <si>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</si>
  <si>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</si>
  <si>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</si>
  <si>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</si>
  <si>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</si>
  <si>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</si>
  <si>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</si>
  <si>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</si>
  <si>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</si>
  <si>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</si>
  <si>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</si>
  <si>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</si>
  <si>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</si>
  <si>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</si>
  <si>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</si>
  <si>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</si>
  <si>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</si>
  <si>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</si>
  <si>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</si>
  <si>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</si>
  <si>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</si>
  <si>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</si>
  <si>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</si>
  <si>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</si>
  <si>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</si>
  <si>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</si>
  <si>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</si>
  <si>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</si>
  <si>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</si>
  <si>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</si>
  <si>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</si>
  <si>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</si>
  <si>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</si>
  <si>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</si>
  <si>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</si>
  <si>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</si>
  <si>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</si>
  <si>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</si>
  <si>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</si>
  <si>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</si>
  <si>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</si>
  <si>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</si>
  <si>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</si>
  <si>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</si>
  <si>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</si>
  <si>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</si>
  <si>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</si>
  <si>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</si>
  <si>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</si>
  <si>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</si>
  <si>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</si>
  <si>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</si>
  <si>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</si>
  <si>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</si>
  <si>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</si>
  <si>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</si>
  <si>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</si>
  <si>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</si>
  <si>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</si>
  <si>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</si>
  <si>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</si>
  <si>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</si>
  <si>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</si>
  <si>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</si>
  <si>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</si>
  <si>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</si>
  <si>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</si>
  <si>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</si>
  <si>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</si>
  <si>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</si>
  <si>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</si>
  <si>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</si>
  <si>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</si>
  <si>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</si>
  <si>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</si>
  <si>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</si>
  <si>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</si>
  <si>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</si>
  <si>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</si>
  <si>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</si>
  <si>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</si>
  <si>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Prihodi od prodaje nematerijalne imovine (AOP 258 do 263)</t>
  </si>
  <si>
    <t>Prihodi od prodaje proizvedene dugotrajne imovine (AOP 265+270+278+283+288+291)</t>
  </si>
  <si>
    <t>Prihodi od prodaje građevinskih objekata (AOP 266 do 269)</t>
  </si>
  <si>
    <t>Ceste, željeznice i ostali prometni objekti</t>
  </si>
  <si>
    <t>Prihodi od prodaje postrojenja i opreme (AOP 271 do 277)</t>
  </si>
  <si>
    <t>Prihodi od prodaje prijevoznih sredstava (AOP 279 do 282)</t>
  </si>
  <si>
    <t>Prihodi od prodaje knjiga, umjetničkih djela i ostalih izložbenih vrijednosti (AOP 284 do 287)</t>
  </si>
  <si>
    <t>Knjige</t>
  </si>
  <si>
    <t>Umjetnička djela (izložena u galerijama, muzejima i slično)</t>
  </si>
  <si>
    <t>Prihodi od prodaje višegodišnjih nasada i osnovnog stada (AOP 289+290)</t>
  </si>
  <si>
    <t>Prihodi od prodaje nematerijalne proizvedene imovine (AOP 292 do 295)</t>
  </si>
  <si>
    <t>Istraživanje rudnih bogatstava</t>
  </si>
  <si>
    <t>Prihodi od prodaje plemenitih metala i ostalih pohranjenih vrijednosti (AOP 297)</t>
  </si>
  <si>
    <t>Prihodi od prodaje plemenitih metala i ostalih pohranjenih vrijednosti (AOP 298+299)</t>
  </si>
  <si>
    <t>Prihodi od prodaje proizvedene kratkotrajne imovine (AOP 301)</t>
  </si>
  <si>
    <t>Prihodi od prodaje zaliha (AOP 302)</t>
  </si>
  <si>
    <t>Rashodi za nabavu nefinancijske imovine (AOP 304+318+352+358+361)</t>
  </si>
  <si>
    <t>Rashodi za nabavu neproizvedene dugotrajne imovine (AOP 305+309+316)</t>
  </si>
  <si>
    <t>Materijalna imovina - prirodna bogatstva (AOP 306 do 308)</t>
  </si>
  <si>
    <t>Nematerijalna imovina (AOP 310 do 315)</t>
  </si>
  <si>
    <t>Predujmovi za nabavu neproizvedene imovine (AOP 317)</t>
  </si>
  <si>
    <t>Rashodi za nabavu proizvedene dugotrajne imovine (AOP 319+324+332+337+342+345+350)</t>
  </si>
  <si>
    <t>Građevinski objekti (AOP 320 do 323)</t>
  </si>
  <si>
    <t>Postrojenja i oprema (AOP 325 do 331)</t>
  </si>
  <si>
    <t>Prijevozna sredstva (AOP 333 do 336)</t>
  </si>
  <si>
    <t>Knjige, umjetnička djela i ostale izložbene vrijednosti (AOP 338 do 341)</t>
  </si>
  <si>
    <t xml:space="preserve">Knjige </t>
  </si>
  <si>
    <t>Višegodišnji nasadi i osnovno stado (AOP 343+344)</t>
  </si>
  <si>
    <t>Nematerijalna proizvedena imovina (AOP 346 do 349)</t>
  </si>
  <si>
    <t>Predujmovi za nabavu proizvedene dugotrajne imovine (AOP 351)</t>
  </si>
  <si>
    <t>Rashodi za nabavu plemenitih metala i ostalih pohranjenih vrijednosti (AOP 353+356)</t>
  </si>
  <si>
    <t>Plemeniti metali i ostale pohranjene vrijednosti (AOP 354+355)</t>
  </si>
  <si>
    <t>Rashodi za nabavu proizvedene kratkotrajne imovine (AOP 359)</t>
  </si>
  <si>
    <t>Rashodi za nabavu zaliha (AOP 360)</t>
  </si>
  <si>
    <t>Rashodi za dodatna ulaganja na nefinancijskoj imovini (AOP 362+364+366+368+370)</t>
  </si>
  <si>
    <t>Dodatna ulaganja na građevinskim objektima (AOP 363)</t>
  </si>
  <si>
    <t>Dodatna ulaganja na postrojenjima i opremi (AOP 365)</t>
  </si>
  <si>
    <t>Dodatna ulaganja na prijevoznim sredstvima (AOP 367)</t>
  </si>
  <si>
    <t>Otplata glavnice primljenih zajmova od općinskih proračuna</t>
  </si>
  <si>
    <t>Otplata glavnice primljenih zajmova od HZMO-a, HZZ-a i HZZO-a</t>
  </si>
  <si>
    <t>Otplata glavnice primljenih zajmova od ostalih izvanproračunskih korisnika državnog proračuna</t>
  </si>
  <si>
    <t>Izdaci za otplatu glavnice primljenih kredita i zajmova (AOP 553+558+562+564+571+576)</t>
  </si>
  <si>
    <t>Otplata glavnice primljenih kredita i zajmova od međunarodnih organizacija, institucija i tijela EU te inozemnih vlada (AOP 554 do 557)</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</si>
  <si>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</si>
  <si>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</si>
  <si>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</si>
  <si>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559 do 561)</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</si>
  <si>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</si>
  <si>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</si>
  <si>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</si>
  <si>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563)</t>
  </si>
  <si>
    <t>Otplata glavnice primljenih kredita i zajmova od kreditnih i ostalih financijskih institucija izvan javnog sektora (AOP 565 do 570)</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</si>
  <si>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</si>
  <si>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</si>
  <si>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</si>
  <si>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</si>
  <si>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</si>
  <si>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</si>
  <si>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3213</t>
  </si>
  <si>
    <t>Stručno usavršavanje zaposlenika</t>
  </si>
  <si>
    <t>3221</t>
  </si>
  <si>
    <t>Uredski materijal i ostali materijalni rashodi</t>
  </si>
  <si>
    <t>3222</t>
  </si>
  <si>
    <t>Materijal i sirovine</t>
  </si>
  <si>
    <t>3223</t>
  </si>
  <si>
    <t>Energija</t>
  </si>
  <si>
    <t>3225</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</si>
  <si>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</si>
  <si>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</si>
  <si>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</si>
  <si>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</si>
  <si>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</si>
  <si>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</si>
  <si>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</si>
  <si>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</si>
  <si>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</si>
  <si>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</si>
  <si>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</si>
  <si>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</si>
  <si>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</si>
  <si>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</si>
  <si>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</si>
  <si>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</si>
  <si>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</si>
  <si>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</si>
  <si>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</si>
  <si>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</si>
  <si>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</si>
  <si>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</si>
  <si>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</si>
  <si>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</si>
  <si>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</si>
  <si>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</si>
  <si>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</si>
  <si>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Kontrolni zbroj (AOP 800 do 862)</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</si>
  <si>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</si>
  <si>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</si>
  <si>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</si>
  <si>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</si>
  <si>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</si>
  <si>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</si>
  <si>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</si>
  <si>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Kod tromjesečnih i devetomjesečnih izvještaja nema konsolidacije, ne predaju se konsolidirani obrasci, znači za ta razdoblja obrazac ne može biti razine 23. Kontrola javlja pogrešku ako ste za jedno od tih razdoblja upisali oznaku razine 23.</t>
  </si>
  <si>
    <r>
      <t xml:space="preserve">Popunjenost zaglavlja referentne stranice. </t>
    </r>
    <r>
      <rPr>
        <sz val="8"/>
        <rFont val="Arial"/>
        <family val="2"/>
        <charset val="238"/>
      </rPr>
      <t>Svi podaci u zaglavlju čiji opis je u tamnoplavoj boji moraju biti popunjeni, za one koji nemaju razdjel neka upišu nulu, polje ne smije ostati prazno. Ako ova kontrola nije zadovoljena znači da niste popunili zaglavlje obrasca u potpunosti. Takav obrazac neće moći biti zaprimljen i učitan kroz program. Provjerite još jednom i popunite sva polja na referentnoj stranici.</t>
    </r>
  </si>
  <si>
    <t>38622</t>
  </si>
  <si>
    <t>38623</t>
  </si>
  <si>
    <t>38624</t>
  </si>
  <si>
    <t>38625</t>
  </si>
  <si>
    <t>38631</t>
  </si>
  <si>
    <t>38632</t>
  </si>
  <si>
    <t>Kontrolni zbroj (AOP 269 do 326)</t>
  </si>
  <si>
    <t>81711</t>
  </si>
  <si>
    <t>81712</t>
  </si>
  <si>
    <t>81721</t>
  </si>
  <si>
    <t>81722</t>
  </si>
  <si>
    <t>81731</t>
  </si>
  <si>
    <t>81732</t>
  </si>
  <si>
    <t>81741</t>
  </si>
  <si>
    <t>81742</t>
  </si>
  <si>
    <t>81751</t>
  </si>
  <si>
    <t>81752</t>
  </si>
  <si>
    <t>81761</t>
  </si>
  <si>
    <t>81762</t>
  </si>
  <si>
    <t>81771</t>
  </si>
  <si>
    <t>81772</t>
  </si>
  <si>
    <t>84131</t>
  </si>
  <si>
    <t>Primljeni zajmovi od međunarodnih organizacija - kratkoročni</t>
  </si>
  <si>
    <t>84132</t>
  </si>
  <si>
    <t>84141</t>
  </si>
  <si>
    <t>Primljeni krediti i zajmovi od institucija i tijela EU - kratkoročni</t>
  </si>
  <si>
    <t>84142</t>
  </si>
  <si>
    <t>84151</t>
  </si>
  <si>
    <t>Primljeni zajmovi od inozemnih vlada u EU - kratkoročni</t>
  </si>
  <si>
    <t>84152</t>
  </si>
  <si>
    <t>84161</t>
  </si>
  <si>
    <t>Primljeni zajmovi od inozemnih vlada izvan EU - kratkoročni</t>
  </si>
  <si>
    <t>84162</t>
  </si>
  <si>
    <t>84711</t>
  </si>
  <si>
    <t>84712</t>
  </si>
  <si>
    <t>84721</t>
  </si>
  <si>
    <t>84722</t>
  </si>
  <si>
    <t>84731</t>
  </si>
  <si>
    <t>84732</t>
  </si>
  <si>
    <t>84741</t>
  </si>
  <si>
    <t>84742</t>
  </si>
  <si>
    <t>84751</t>
  </si>
  <si>
    <t>84752</t>
  </si>
  <si>
    <t>84761</t>
  </si>
  <si>
    <t>84762</t>
  </si>
  <si>
    <t>Kontrolni zbroj (AOP 328 do 361)</t>
  </si>
  <si>
    <t>51711</t>
  </si>
  <si>
    <t>Dani zajmovi državnom proračunu - kratkoročni</t>
  </si>
  <si>
    <t>51712</t>
  </si>
  <si>
    <t>Dani zajmovi državnom proračunu - dugoročni</t>
  </si>
  <si>
    <t>51721</t>
  </si>
  <si>
    <t>Dani zajmovi županijskim proračunima - kratkoročni</t>
  </si>
  <si>
    <t>51722</t>
  </si>
  <si>
    <r>
      <t xml:space="preserve">Razine 31
</t>
    </r>
    <r>
      <rPr>
        <sz val="8"/>
        <rFont val="Arial"/>
        <family val="2"/>
        <charset val="238"/>
      </rPr>
      <t>- ne predaje mjesečni obrazac Obveze
- za kvartale (prvi i treći kvartal) predaje samo obrazac S-PR-RAS
- za polugodište predaje samo obrazac PR-RAS
- na godišnjoj razini predaje obrasce: PR-RAS, BIL i P-VRIO. 
Zavisno od odabranog razdoblja, ako je popunjen obrazac koji ne treba biti popunjen, ili nije popunjen obrazac koji treba biti popunjen, ova kontrola javlja pogrešku.</t>
    </r>
  </si>
  <si>
    <t>Ostali nespomenuti financijski izdaci</t>
  </si>
  <si>
    <t>29</t>
  </si>
  <si>
    <t>291</t>
  </si>
  <si>
    <t>Odgođeno plaćanje rashoda</t>
  </si>
  <si>
    <t>292</t>
  </si>
  <si>
    <t>Naplaćeni prihodi budućih razdoblja</t>
  </si>
  <si>
    <t>9</t>
  </si>
  <si>
    <t>Nematerijalna proizvedena imovina (AOP 040 do 043 - 044)</t>
  </si>
  <si>
    <t>Proizvedena kratkotrajna imovina (AOP 058 do 060)</t>
  </si>
  <si>
    <t>NOVA BUKOVICA</t>
  </si>
  <si>
    <t>NOVA GRADIŠKA</t>
  </si>
  <si>
    <t>NOVA KAPELA</t>
  </si>
  <si>
    <t>NOVA RAČA</t>
  </si>
  <si>
    <t>NOVALJA</t>
  </si>
  <si>
    <t>NOVI MAROF</t>
  </si>
  <si>
    <t xml:space="preserve">Ostali nespomenuti izdaci poslovanja </t>
  </si>
  <si>
    <t>Ostali prihodi od financijske imovine</t>
  </si>
  <si>
    <t>Naknade za koncesije</t>
  </si>
  <si>
    <t>PR-RAS</t>
  </si>
  <si>
    <t>Referentna stranica</t>
  </si>
  <si>
    <t>(potpis voditelja računovodstva)</t>
  </si>
  <si>
    <t>(potpis zakonskog predstavnika)</t>
  </si>
  <si>
    <t>&lt;–––– Povratak na naslovnu</t>
  </si>
  <si>
    <t>Kontrole ––––&gt;</t>
  </si>
  <si>
    <t>iznosi u kunama, bez lipa</t>
  </si>
  <si>
    <t>Rač. iz rač. plana</t>
  </si>
  <si>
    <t>Županijske, gradske i općinske pristojbe i naknade</t>
  </si>
  <si>
    <t>Prihodi državne uprave</t>
  </si>
  <si>
    <t>Doprinosi za mirovinsko osiguranje</t>
  </si>
  <si>
    <t>Uredski materijal i ostali materijalni izdaci</t>
  </si>
  <si>
    <t>Materijal i dijelovi za tekuće i investicijsko održavanje</t>
  </si>
  <si>
    <r>
      <t xml:space="preserve">Obveznici više nisu </t>
    </r>
    <r>
      <rPr>
        <sz val="8"/>
        <rFont val="Arial"/>
        <family val="2"/>
        <charset val="238"/>
      </rPr>
      <t xml:space="preserve">dužni kod predaje u FINA-u ispisati kompletno sve obrasce već </t>
    </r>
    <r>
      <rPr>
        <b/>
        <sz val="8"/>
        <rFont val="Arial"/>
        <family val="2"/>
        <charset val="238"/>
      </rPr>
      <t>samo</t>
    </r>
    <r>
      <rPr>
        <sz val="8"/>
        <rFont val="Arial"/>
        <family val="2"/>
        <charset val="238"/>
      </rPr>
      <t xml:space="preserve"> ispisanu i ovjerenu Referentnu stranicu, potpisanu od strane zakonskog predstavnika obveznika. Isto tako, uz ispis Referentne stranice potrebno je dostaviti i obrazac na magnetnom mediju (disketu, CD, USB stick). Obrasci koji su računalno popunjeni i ispisani na papiru, neće se preuzeti bez magnetnog medija. Korisnici koji nemaju nikakvu mogućnost popunjavanja obrazaca na računalu, već upisuju podatke ručno u prazan ispisani obrazac moraju dostaviti kompletne obrasce, s tim da svaka stranica obrasca mora biti potpisana od strane ovlaštene osobe.</t>
    </r>
  </si>
  <si>
    <t>Nuštar</t>
  </si>
  <si>
    <t>Umag</t>
  </si>
  <si>
    <t>Funtana</t>
  </si>
  <si>
    <t>Obrovac</t>
  </si>
  <si>
    <t>Unešić</t>
  </si>
  <si>
    <t>Fužine</t>
  </si>
  <si>
    <t>Ogulin</t>
  </si>
  <si>
    <t>Valpovo</t>
  </si>
  <si>
    <t>Doprinosi za šume</t>
  </si>
  <si>
    <t>Mjesni samodoprinos</t>
  </si>
  <si>
    <t>Ostali nespomenuti prihodi</t>
  </si>
  <si>
    <t>66</t>
  </si>
  <si>
    <t>661</t>
  </si>
  <si>
    <t>Željeznički prijevoz putnika, međugradski</t>
  </si>
  <si>
    <t>Željeznički prijevoz robe</t>
  </si>
  <si>
    <t xml:space="preserve"> Stipendije i školarine</t>
  </si>
  <si>
    <t>Kazne za devizne prekršaje</t>
  </si>
  <si>
    <t>Ostale kazne</t>
  </si>
  <si>
    <t>Tekuće donacije</t>
  </si>
  <si>
    <t>Kapitalne donacije</t>
  </si>
  <si>
    <t>GODINA</t>
  </si>
  <si>
    <t>MJESEC</t>
  </si>
  <si>
    <t>RAZINA</t>
  </si>
  <si>
    <t>NT</t>
  </si>
  <si>
    <t>RASF</t>
  </si>
  <si>
    <t>PVRIO</t>
  </si>
  <si>
    <t>BIL</t>
  </si>
  <si>
    <t>OBV</t>
  </si>
  <si>
    <t>SPRAS</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</si>
  <si>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</si>
  <si>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</si>
  <si>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</si>
  <si>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</si>
  <si>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</si>
  <si>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</si>
  <si>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</si>
  <si>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</si>
  <si>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</si>
  <si>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</si>
  <si>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</si>
  <si>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</si>
  <si>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</si>
  <si>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</si>
  <si>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</si>
  <si>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</si>
  <si>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</si>
  <si>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</si>
  <si>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</si>
  <si>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 xml:space="preserve">Rashodi za zaposlene u tijelima </t>
  </si>
  <si>
    <t>Rashodi za zaposlene kod korisnika</t>
  </si>
  <si>
    <t>Neto plaća u tijelima</t>
  </si>
  <si>
    <t>Neto plaća kod korisnika</t>
  </si>
  <si>
    <t>Porez i prirez iz plaća u tijelima</t>
  </si>
  <si>
    <t>Porez i prirez iz plaća kod korisnika</t>
  </si>
  <si>
    <t>Otpremnine</t>
  </si>
  <si>
    <t xml:space="preserve">Materijalni rashodi u tijelima </t>
  </si>
  <si>
    <t>Materijalni rashodi kod korisnika</t>
  </si>
  <si>
    <t>Naknade za prijevoz na posao i s posla</t>
  </si>
  <si>
    <t>32371</t>
  </si>
  <si>
    <t>Autorski honorari</t>
  </si>
  <si>
    <t>32372</t>
  </si>
  <si>
    <t>Ugovori o djelu</t>
  </si>
  <si>
    <t>Kamate za izdane trezorske zapise u zemlji</t>
  </si>
  <si>
    <t>Porez i prirez na dohodak od nesamostalnog rada</t>
  </si>
  <si>
    <t>Porez i prirez na dohodak od imovine i imovinskih prava</t>
  </si>
  <si>
    <t>Porez i prirez na dohodak (AOP 004 do 009 - 010 - 011)</t>
  </si>
  <si>
    <r>
      <t xml:space="preserve">Dodan razdjel 033 - DRŽAVNI URED ZA OBNOVU I STAMBENO ZBRINJAVANJE. Dodane su nove kontrole koje provjeravaju jesu li korisnici popunili AOP oznake koje prema razini ne bi smjeli popuniti, tj. na kojima ne mogu imati upisan podatak različit od nule (kontrole 160 do 167). Ispravljena je formula za AOP 003 u PR-RAS obrascu, Porez i prirez na dohodak (AOP 004 do 009 - 010 - 011). Do sada je bilo pogrešno Porez i prirez na dohodak (AOP 004 do 009 - 010 </t>
    </r>
    <r>
      <rPr>
        <b/>
        <sz val="10"/>
        <color indexed="10"/>
        <rFont val="Arial"/>
        <family val="2"/>
        <charset val="238"/>
      </rPr>
      <t>+</t>
    </r>
    <r>
      <rPr>
        <sz val="10"/>
        <color indexed="12"/>
        <rFont val="Arial"/>
        <family val="2"/>
        <charset val="238"/>
      </rPr>
      <t xml:space="preserve"> 011)</t>
    </r>
  </si>
  <si>
    <t>Dani zajmovi gradskim proračunima - kratkoročni</t>
  </si>
  <si>
    <t>51732</t>
  </si>
  <si>
    <t>Sufinanciranje cijene usluge, participacije i slično</t>
  </si>
  <si>
    <t>Kontrolni zbroj (AOP 607 do 646)</t>
  </si>
  <si>
    <t>dio 311</t>
  </si>
  <si>
    <t>Naknade za bolest, invalidnost i smrtni slučaj</t>
  </si>
  <si>
    <t>32361</t>
  </si>
  <si>
    <t>Obvezni i preventivni zdravstveni pregledi zaposlenika</t>
  </si>
  <si>
    <t>32377</t>
  </si>
  <si>
    <t>Usluge agencija, studentskog servisa (prijepisi, prijevodi i drugo)</t>
  </si>
  <si>
    <t>Naknade članovima predstavničkih i izvršnih tijela i upravnih vijeća</t>
  </si>
  <si>
    <t>32923</t>
  </si>
  <si>
    <t>Premije osiguranja zaposlenih</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</si>
  <si>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</si>
  <si>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</si>
  <si>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</si>
  <si>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</si>
  <si>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</si>
  <si>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</si>
  <si>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</si>
  <si>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</si>
  <si>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</si>
  <si>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</si>
  <si>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Na godišnjoj razini postoji kontrola koja povezuje neke AOP pozicije obrasca PR-RAS i obrasca Bil. Ova kontrola vrijede za sve razine. Kontrola je obvezujuća za razine 11, 21, 22, 31, 42. Vrijednost AOP oznake 144 u obrascu Bilanca mora biti jednaka vrijednosti AOP oznake 606 u obrascu PR-RAS. Zbog zaokruživanja vrijednosti, dozvoljeno je odstupanje od 1 kn. Ova kontrola vrijedi u obje kolone podataka, osim za obveznike kod kojih početak razdoblja nije ujedno i početak poslovne godine (obveznik je počeo s radom tokom godine). Za takve obveznike kontrola mora biti zadovoljena samo za kolonu tekuće godine (ne i prethodne).</t>
  </si>
  <si>
    <t>Stanje na kraju izvještajnog razdoblja</t>
  </si>
  <si>
    <t>Stanje potraživanja za dane zajmove tuzemnim trgovačkim društvima i obrtnicima te drugim razinama vlasti (AOP 865 do 884)</t>
  </si>
  <si>
    <t>Zajmovi trgovačkim društvima u javnom sektoru - kratkoročni</t>
  </si>
  <si>
    <t>Zajmovi trgovačkim društvima u javnom sektoru - dugoročni</t>
  </si>
  <si>
    <t>Zajmovi tuzemnim trgovačkim društvima izvan javnog sektora - kratkoročni</t>
  </si>
  <si>
    <t>Zajmovi tuzemnim trgovačkim društvima izvan javnog sektora - dugoročni</t>
  </si>
  <si>
    <t>Zajmovi tuzemnim obrtnicima - kratkoročni</t>
  </si>
  <si>
    <t>Zajmovi tuzemnim obrtnicima - dugoročni</t>
  </si>
  <si>
    <t>Zajmovi državnom proračunu - kratkoročni</t>
  </si>
  <si>
    <t>Zajmovi državnom proračunu - dugoročni</t>
  </si>
  <si>
    <t>Zajmovi županijskim proračunima - kratkoročni</t>
  </si>
  <si>
    <t>Računalne usluge</t>
  </si>
  <si>
    <t>Ostale usluge</t>
  </si>
  <si>
    <t>Potraživanja za prihode od imovine</t>
  </si>
  <si>
    <t>165</t>
  </si>
  <si>
    <t>166</t>
  </si>
  <si>
    <t>169</t>
  </si>
  <si>
    <t>Ispravak vrijednosti potraživanja</t>
  </si>
  <si>
    <t>17</t>
  </si>
  <si>
    <t>Potraživanja od prodaje nefinancijske imovine</t>
  </si>
  <si>
    <t>19</t>
  </si>
  <si>
    <t>192</t>
  </si>
  <si>
    <t>Nedospjela naplata prihoda</t>
  </si>
  <si>
    <t>2</t>
  </si>
  <si>
    <t>Obrazac S-PR-RAS
VP 161</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</si>
  <si>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</si>
  <si>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</si>
  <si>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</si>
  <si>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</si>
  <si>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</si>
  <si>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</si>
  <si>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</si>
  <si>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</si>
  <si>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</si>
  <si>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</si>
  <si>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</si>
  <si>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</si>
  <si>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</si>
  <si>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</si>
  <si>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</si>
  <si>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</si>
  <si>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</si>
  <si>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</si>
  <si>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</si>
  <si>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</si>
  <si>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</si>
  <si>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</si>
  <si>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</si>
  <si>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</si>
  <si>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</si>
  <si>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</si>
  <si>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</si>
  <si>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</si>
  <si>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</si>
  <si>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</si>
  <si>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</si>
  <si>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</si>
  <si>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</si>
  <si>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</si>
  <si>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</si>
  <si>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</si>
  <si>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</si>
  <si>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</si>
  <si>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</si>
  <si>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</si>
  <si>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Prihodi za financiranje rashoda poslovanja</t>
  </si>
  <si>
    <t>010</t>
  </si>
  <si>
    <t>URED PREDSJEDNIKA REPUBLIKE HRVATSKE PO PRESTANKU OBNAŠANJA</t>
  </si>
  <si>
    <t>URED PREDSJEDNIKA REPUBLIKE HRVATSKE</t>
  </si>
  <si>
    <t>020</t>
  </si>
  <si>
    <t>026</t>
  </si>
  <si>
    <t>027</t>
  </si>
  <si>
    <t>028</t>
  </si>
  <si>
    <t>029</t>
  </si>
  <si>
    <t>030</t>
  </si>
  <si>
    <t>040</t>
  </si>
  <si>
    <t>060</t>
  </si>
  <si>
    <t>MINISTARSTVO GRADITELJSTVA I PROSTORNOGA UREĐENJA</t>
  </si>
  <si>
    <t>077</t>
  </si>
  <si>
    <t>080</t>
  </si>
  <si>
    <t>MINISTARSTVO RADA I MIROVINSKOGA SUSTAVA</t>
  </si>
  <si>
    <t>090</t>
  </si>
  <si>
    <t>110</t>
  </si>
  <si>
    <t>120</t>
  </si>
  <si>
    <t>160</t>
  </si>
  <si>
    <t>185</t>
  </si>
  <si>
    <t>196</t>
  </si>
  <si>
    <t>DRŽAVNA KOMISIJA ZA KONTROLU POSTUPAKA JAVNE NABAVE</t>
  </si>
  <si>
    <t>225</t>
  </si>
  <si>
    <t>230</t>
  </si>
  <si>
    <t>DIGITALNI INFORMACIJSKO-DOKUMENTACIJSKI URED</t>
  </si>
  <si>
    <t>240</t>
  </si>
  <si>
    <t>241</t>
  </si>
  <si>
    <t>242</t>
  </si>
  <si>
    <t>250</t>
  </si>
  <si>
    <t>257</t>
  </si>
  <si>
    <t>AGENCIJA ZA REGULACIJU TRŽIŠTA ŽELJEZNIČKIH USLUGA</t>
  </si>
  <si>
    <t>258</t>
  </si>
  <si>
    <t>POVJERENIK ZA INFORMIRANJE</t>
  </si>
  <si>
    <t>Ispraljena nova kontrola za razinu 31, umjesto 553 do 570, ova razina stvarno ne može imati popunjene AOP oznake 553 do 557.</t>
  </si>
  <si>
    <t>Dodana nova razdoblja za 2014. godinu te je dorađen popis razdjela i glava (omogućen samo unos onih koji su postojali u 2013. ili su otvoreni početkom 2014. godine).</t>
  </si>
  <si>
    <t>3.0.6.</t>
  </si>
  <si>
    <t>306</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</si>
  <si>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</si>
  <si>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</si>
  <si>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</si>
  <si>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</si>
  <si>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</si>
  <si>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</si>
  <si>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</si>
  <si>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</si>
  <si>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</si>
  <si>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</si>
  <si>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</si>
  <si>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</si>
  <si>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</si>
  <si>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</si>
  <si>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Dionice i udjeli u glavnici inozemnih trgovačkih društava izvan javnog sektora</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</si>
  <si>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</si>
  <si>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</si>
  <si>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</si>
  <si>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</si>
  <si>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</si>
  <si>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</si>
  <si>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</si>
  <si>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</si>
  <si>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</si>
  <si>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</si>
  <si>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</si>
  <si>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r>
      <t>Čak i iskusnim korisnicima u radu s Excel-om, preporuča se da pažljivo prouče upute o popunjavanju. Posebnu pozornost na ove upute trebaju obratiti obveznici koji obrasce popunjavaju u</t>
    </r>
    <r>
      <rPr>
        <b/>
        <sz val="10"/>
        <color indexed="16"/>
        <rFont val="Arial"/>
        <family val="2"/>
        <charset val="238"/>
      </rPr>
      <t xml:space="preserve"> </t>
    </r>
    <r>
      <rPr>
        <b/>
        <sz val="10"/>
        <color indexed="10"/>
        <rFont val="Arial"/>
        <family val="2"/>
        <charset val="238"/>
      </rPr>
      <t>OpenOffice</t>
    </r>
    <r>
      <rPr>
        <b/>
        <sz val="10"/>
        <rFont val="Arial"/>
        <family val="2"/>
        <charset val="238"/>
      </rPr>
      <t>-u, verziji</t>
    </r>
    <r>
      <rPr>
        <b/>
        <sz val="10"/>
        <color indexed="16"/>
        <rFont val="Arial"/>
        <family val="2"/>
        <charset val="238"/>
      </rPr>
      <t xml:space="preserve"> </t>
    </r>
    <r>
      <rPr>
        <b/>
        <sz val="10"/>
        <color indexed="10"/>
        <rFont val="Arial"/>
        <family val="2"/>
        <charset val="238"/>
      </rPr>
      <t>Excel-a 2007</t>
    </r>
    <r>
      <rPr>
        <b/>
        <sz val="10"/>
        <color indexed="16"/>
        <rFont val="Arial"/>
        <family val="2"/>
        <charset val="238"/>
      </rPr>
      <t xml:space="preserve"> </t>
    </r>
    <r>
      <rPr>
        <b/>
        <sz val="10"/>
        <rFont val="Arial"/>
        <family val="2"/>
        <charset val="238"/>
      </rPr>
      <t>ili novijeg te iz nekog</t>
    </r>
    <r>
      <rPr>
        <b/>
        <sz val="10"/>
        <color indexed="16"/>
        <rFont val="Arial"/>
        <family val="2"/>
        <charset val="238"/>
      </rPr>
      <t xml:space="preserve"> </t>
    </r>
    <r>
      <rPr>
        <b/>
        <sz val="10"/>
        <color indexed="10"/>
        <rFont val="Arial"/>
        <family val="2"/>
        <charset val="238"/>
      </rPr>
      <t xml:space="preserve">vanjskog programa </t>
    </r>
    <r>
      <rPr>
        <b/>
        <sz val="10"/>
        <rFont val="Arial"/>
        <family val="2"/>
        <charset val="238"/>
      </rPr>
      <t xml:space="preserve">(računovodstveni program i slično). Datoteke popunjene na taj način učestalo su problematične i nemoguće ih je učitati jer datoteke nisu pripremljene na način kako je navedeno u uputama.
</t>
    </r>
    <r>
      <rPr>
        <b/>
        <sz val="10"/>
        <color indexed="12"/>
        <rFont val="Arial"/>
        <family val="2"/>
        <charset val="238"/>
      </rPr>
      <t>Ova verzija datoteke predviđena je za popunjavanje svih vrsta obrazaca, za sve razine te za sva razdoblja u 2013. i 2014. godini. Predaja ovih obrazaca za sada je moguća samo u poslovnicama Fine, a predaja putem web servisa je u planu.</t>
    </r>
  </si>
  <si>
    <t>Zajmovi ostalim izvanproračunskim korisnicima državnog proračuna</t>
  </si>
  <si>
    <t>1377</t>
  </si>
  <si>
    <t>Zajmovi izvanproračunskim korisnicima županijskih, gradskih i općinskih proračuna</t>
  </si>
  <si>
    <t>Zajmovi - inozemni (AOP 093 do 102)</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</si>
  <si>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</si>
  <si>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</si>
  <si>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</si>
  <si>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</si>
  <si>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</si>
  <si>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</si>
  <si>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</si>
  <si>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</si>
  <si>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</si>
  <si>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</si>
  <si>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</si>
  <si>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</si>
  <si>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</si>
  <si>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</si>
  <si>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</si>
  <si>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</si>
  <si>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</si>
  <si>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</si>
  <si>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</si>
  <si>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</si>
  <si>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</si>
  <si>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</si>
  <si>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</si>
  <si>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</si>
  <si>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</si>
  <si>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</si>
  <si>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</si>
  <si>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</si>
  <si>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</si>
  <si>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</si>
  <si>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</si>
  <si>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</si>
  <si>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</si>
  <si>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</si>
  <si>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</si>
  <si>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</si>
  <si>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</si>
  <si>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</si>
  <si>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</si>
  <si>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</si>
  <si>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</si>
  <si>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</si>
  <si>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</si>
  <si>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Potraživanja za prihode poslovanja (AOP 133 do 140 - 141)</t>
  </si>
  <si>
    <t>163</t>
  </si>
  <si>
    <t>Potraživanja za pomoći od međunarodnih organizacija, institucija i tijela EU te proračunskih korisnika temeljem prijenosa sredstava EU</t>
  </si>
  <si>
    <t>Potraživanja za upravne i administrativne pristojbe, pristojbe po posebnim propisima i naknade</t>
  </si>
  <si>
    <t>Potraživanja za prihode od prodaje proizvoda i robe te pruženih usluga</t>
  </si>
  <si>
    <t>167</t>
  </si>
  <si>
    <t>Potraživanja za prihode iz proračuna</t>
  </si>
  <si>
    <t>Ako je iznos na AOP-u 166 veći od nule, a iznosi na AOP-u 660 (autorski honorari), AOP-u 661 (ugovori o djelu) i na AOP-u 662 (usluge agencija, studentskog sevisa (prijepisi, prijevodi i drugo)) su jednaki nuli, provjerite AOP-e 660, 661 i 662. Ako su njihovi iznosi stvarno toliki, zanemarite ovu kontrolu.</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</si>
  <si>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</si>
  <si>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</si>
  <si>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</si>
  <si>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</si>
  <si>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</si>
  <si>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</si>
  <si>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</si>
  <si>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</si>
  <si>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</si>
  <si>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</si>
  <si>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</si>
  <si>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</si>
  <si>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</si>
  <si>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</si>
  <si>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</si>
  <si>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</si>
  <si>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</si>
  <si>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</si>
  <si>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</si>
  <si>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</si>
  <si>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</si>
  <si>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</si>
  <si>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</si>
  <si>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</si>
  <si>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</si>
  <si>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</si>
  <si>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</si>
  <si>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AOP 002 mora biti veći ili jednak AOP-u 232</t>
  </si>
  <si>
    <t>AOP 018 mora biti veći ili jednak zbroju AOP-a: 269 + 270</t>
  </si>
  <si>
    <t>AOP 060 mora biti jednak zbroju AOP-a: 272 + 273</t>
  </si>
  <si>
    <t>AOP 100 mora biti veći ili jednak zbroju AOP-a: 314 + 315</t>
  </si>
  <si>
    <t>AOP 101 mora biti veći ili jednak AOP-u 316</t>
  </si>
  <si>
    <t>AOP 197 mora biti veći ili jednak zbroju AOP-a: 328 do 341</t>
  </si>
  <si>
    <t>AOP 200 mora biti veći ili jednak zbroju AOP-a: 342 do 361</t>
  </si>
  <si>
    <t>AOP 203 mora biti veći ili jednak zbroju AOP-a: 363 do 376</t>
  </si>
  <si>
    <t>AOP 206 mora biti veći ili jednak zbroju AOP-a: 377 do 398</t>
  </si>
  <si>
    <t>AOP 004 mora biti jednak zbroju AOP-a: 233 do 260. Dopušteno je odstupanje od 1kn zbog zaokruživanja.</t>
  </si>
  <si>
    <t>AOP 026 mora biti veći ili jednak AOP-u 271. Dopušteno je odstupanje od 1kn zbog zaokruživanja.</t>
  </si>
  <si>
    <t>AOP 063 mora biti jednak zbroju AOP-a: 274 do 277. Dopušteno je odstupanje od 1kn zbog zaokruživanja.</t>
  </si>
  <si>
    <t>AOP 065 mora biti jednak zbroju AOP-a: 278 do 283. Dopušteno je odstupanje od 1kn zbog zaokruživanja.</t>
  </si>
  <si>
    <t>AOP 069 mora biti jednak zbroju AOP-a: 287 do 293. Dopušteno je odstupanje od 1kn zbog zaokruživanja</t>
  </si>
  <si>
    <t>AOP 082 mora biti jednak zbroju AOP-a: 294 + 295. Dopušteno je odstupanje od 1kn zbog zaokruživanja</t>
  </si>
  <si>
    <t>AOP 091 mora biti jednak zbroju AOP-a: 296 do 302. Dopušteno je odstupanje od 1kn zbog zaokruživanja</t>
  </si>
  <si>
    <t>AOP 092 mora biti jednak zbroju AOP-a: 303 do 309. Dopušteno je odstupanje od 1kn zbog zaokruživanja</t>
  </si>
  <si>
    <t>AOP 093 mora biti jednak zbroju AOP-a: 310 + 311. Dopušteno je odstupanje od 1kn zbog zaokruživanja</t>
  </si>
  <si>
    <t>Proizvodnja pripremljene stočne hrane</t>
  </si>
  <si>
    <t>2.0.0.</t>
  </si>
  <si>
    <t>2.0.1.</t>
  </si>
  <si>
    <t>2.0.2.</t>
  </si>
  <si>
    <t>2.0.3.</t>
  </si>
  <si>
    <t>Mihovljan</t>
  </si>
  <si>
    <t>Svetvinčenat</t>
  </si>
  <si>
    <t>Donji Miholjac</t>
  </si>
  <si>
    <t>Mikleuš</t>
  </si>
  <si>
    <t>Šandrovac</t>
  </si>
  <si>
    <t>Donji Vidovec</t>
  </si>
  <si>
    <t>Milna</t>
  </si>
  <si>
    <t>Šenkovec</t>
  </si>
  <si>
    <t>Dragalić</t>
  </si>
  <si>
    <t xml:space="preserve">Rashodi za usluge </t>
  </si>
  <si>
    <t xml:space="preserve">Kapitalne donacije </t>
  </si>
  <si>
    <t xml:space="preserve">Predujmovi za nabavu neproizvedene imovine  </t>
  </si>
  <si>
    <t xml:space="preserve">Postrojenja i oprema </t>
  </si>
  <si>
    <t xml:space="preserve">Prijevozna sredstva </t>
  </si>
  <si>
    <t>Pomoći iz inozemstva (darovnice) i od subjekata unutar općeg proračuna 
(AOP 048+051+056+061+064)</t>
  </si>
  <si>
    <t>Pomoći od inozemnih vlada (AOP 049+050)</t>
  </si>
  <si>
    <t>Pomoći od međunarodnih organizacija te institucija i tijela EU (AOP 052 do 055)</t>
  </si>
  <si>
    <t>Tekuće pomoći od institucija i tijela EU</t>
  </si>
  <si>
    <t>Kapitalne pomoći od institucija i tijela EU</t>
  </si>
  <si>
    <t>Pomoći iz proračuna (AOP 057 do 060)</t>
  </si>
  <si>
    <t>Tekuće pomoći od proračunskih korisnika temeljem prijenosa sredstava EU</t>
  </si>
  <si>
    <t>Kapitalne pomoći od proračunskih korisnika temeljem prijenosa sredstava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</si>
  <si>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</si>
  <si>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</si>
  <si>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</si>
  <si>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</si>
  <si>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</si>
  <si>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AOP 769 je samo dio AOP-a 451 i mora biti manji ili jednak njemu u oba stupca podataka</t>
  </si>
  <si>
    <t>AOP 772 je samo dio AOP-a 454 i mora biti manji ili jednak njemu u oba stupca podataka</t>
  </si>
  <si>
    <t>AOP 773 je samo dio AOP-a 455 i mora biti manji ili jednak njemu u oba stupca podataka</t>
  </si>
  <si>
    <t>AOP 774 je samo dio AOP-a 457 i mora biti manji ili jednak njemu u oba stupca podataka</t>
  </si>
  <si>
    <t>AOP 777 je samo dio AOP-a 460 i mora biti manji ili jednak njemu u oba stupca podataka</t>
  </si>
  <si>
    <t>AOP 778 je samo dio AOP-a 461 i mora biti manji ili jednak njemu u oba stupca podataka</t>
  </si>
  <si>
    <t>AOP 781 je samo dio AOP-a 463 i mora biti manji ili jednak njemu u oba stupca podataka</t>
  </si>
  <si>
    <t>AOP 782 je samo dio AOP-a 464 i mora biti manji ili jednak njemu u oba stupca podataka</t>
  </si>
  <si>
    <t>AOP 783 je samo dio AOP-a 466 i mora biti manji ili jednak njemu u oba stupca podataka</t>
  </si>
  <si>
    <t>AOP 784 je samo dio AOP-a 467 i mora biti manji ili jednak njemu u oba stupca podataka</t>
  </si>
  <si>
    <t>AOP 785 je samo dio AOP-a 468 i mora biti manji ili jednak njemu u oba stupca podataka</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</si>
  <si>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</si>
  <si>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</si>
  <si>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</si>
  <si>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</si>
  <si>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</si>
  <si>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</si>
  <si>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</si>
  <si>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</si>
  <si>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</si>
  <si>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</si>
  <si>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</si>
  <si>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</si>
  <si>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</si>
  <si>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</si>
  <si>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</si>
  <si>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</si>
  <si>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</si>
  <si>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</si>
  <si>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</si>
  <si>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</si>
  <si>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</si>
  <si>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</si>
  <si>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</si>
  <si>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</si>
  <si>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</si>
  <si>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</si>
  <si>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</si>
  <si>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</si>
  <si>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</si>
  <si>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</si>
  <si>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</si>
  <si>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</si>
  <si>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</si>
  <si>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</si>
  <si>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</si>
  <si>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Novac u banci i blagajni (AOP 063 do 066)</t>
  </si>
  <si>
    <t>Strateške zalihe</t>
  </si>
  <si>
    <t>4</t>
  </si>
  <si>
    <t>41</t>
  </si>
  <si>
    <t>4112</t>
  </si>
  <si>
    <t>4113</t>
  </si>
  <si>
    <t>Ostala prirodna materijalna imovina</t>
  </si>
  <si>
    <t>418</t>
  </si>
  <si>
    <t>Predujmovi za nabavu neproizvedene imovine</t>
  </si>
  <si>
    <t>42</t>
  </si>
  <si>
    <t>3291</t>
  </si>
  <si>
    <t>Naknade za rad predstavničkih i izvršnih tijela, povjerenstava i slično</t>
  </si>
  <si>
    <t>3292</t>
  </si>
  <si>
    <t>Premije osiguranja</t>
  </si>
  <si>
    <t>3293</t>
  </si>
  <si>
    <t>Reprezentacija</t>
  </si>
  <si>
    <t>3294</t>
  </si>
  <si>
    <t>Članarine</t>
  </si>
  <si>
    <t xml:space="preserve">Ostali nespomenuti rashodi poslovanja </t>
  </si>
  <si>
    <t>34</t>
  </si>
  <si>
    <t>Kamate za izdane trezorske zapise</t>
  </si>
  <si>
    <t>Kamate za izdane mjenice</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</si>
  <si>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u slučaju da obrazac dostavljate nekom drugom možete zanemariti.</t>
    </r>
  </si>
  <si>
    <t>Izdaci za nabavu plemenitih metala i ostalih pohranjenih vrijednosti (AOP 175+178)</t>
  </si>
  <si>
    <t>Plemeniti metali i ostale pohranjene vrijednosti (AOP 176+177)</t>
  </si>
  <si>
    <t>Predujmovi za nabavu plemenitih metala, umjetničkih i znanstvenih djela i ostalih vrijednosti (AOP 179)</t>
  </si>
  <si>
    <t>Izdaci za nabavu proizvedene kratkotrajne imovine (AOP 181)</t>
  </si>
  <si>
    <t>Izdaci za nabavu zaliha (AOP 182)</t>
  </si>
  <si>
    <t>Izdaci za dodatna ulaganja na nefinancijskoj imovini (AOP 184+186+188+190+192)</t>
  </si>
  <si>
    <t>Dodatna ulaganja na građevinskim objektima (AOP 185)</t>
  </si>
  <si>
    <t>Dodatna ulaganja na postrojenjima i opremi (AOP 187)</t>
  </si>
  <si>
    <t>Dodatna ulaganja na prijevoznim sredstvima (AOP 189)</t>
  </si>
  <si>
    <t>Dodatna ulaganja za ostalu nefinancijsku imovinu (AOP 191)</t>
  </si>
  <si>
    <t>Predujmovi za dodatna ulaganja na nefinancijskoj imovini (AOP 193)</t>
  </si>
  <si>
    <t>Neto primici iz transakcija na nefinancijskoj imovini (AOP 120-125)</t>
  </si>
  <si>
    <t>Neto izdaci iz transakcija na nefinancijskoj imovini (AOP 125-120)</t>
  </si>
  <si>
    <t xml:space="preserve">Na godišnjoj razini postoji kontrola koja povezuje neke AOP pozicije obrasca PR-RAS i obrasca Bil. Vrijednost AOP oznake 062 u obrascu Bilanca mora biti jednaka vrijednosti AOP oznake 610 u obrascu PR-RAS. Zbog zaokruživanja vrijednosti, dozvoljeno je odstupanje od 1 kn. Upozorenje se javlja ako kontrola nije zadovoljena za razine 12, 13 i 23. Ako je kontrola javila upozorenje provjerite da li je sigurno da ne mora biti zadovoljena. </t>
  </si>
  <si>
    <t>Na godišnjoj razini postoji kontrola koja povezuje neke AOP pozicije obrasca NT i obrasca Bil. Ova kontrola vrijede za sve razine. Kontrola je obvezujuća za razine 11, 21, 22, 31, 42. Vrijednost AOP oznake 062 u obrascu Bilanca mora biti jednaka vrijednosti AOP oznake 229 u obrascu NT. Zbog zaokruživanja vrijednosti, dozvoljeno je odstupanje od 1 kn.</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</si>
  <si>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</si>
  <si>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u sljedeću verziju Excel datoteke kada to bude potrebno. Zbog toga je navigacija na List novosti bijela (Neaktivna).</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</si>
  <si>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</si>
  <si>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</si>
  <si>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</si>
  <si>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</si>
  <si>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</si>
  <si>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</si>
  <si>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</si>
  <si>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</si>
  <si>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</si>
  <si>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</si>
  <si>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</si>
  <si>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</si>
  <si>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</si>
  <si>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</si>
  <si>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</si>
  <si>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</si>
  <si>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</si>
  <si>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</si>
  <si>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</si>
  <si>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</si>
  <si>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</si>
  <si>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</si>
  <si>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</si>
  <si>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</si>
  <si>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</si>
  <si>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</si>
  <si>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</si>
  <si>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</si>
  <si>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</si>
  <si>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</si>
  <si>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</si>
  <si>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</si>
  <si>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</si>
  <si>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</si>
  <si>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</si>
  <si>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</si>
  <si>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</si>
  <si>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</si>
  <si>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</si>
  <si>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</si>
  <si>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</si>
  <si>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</si>
  <si>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</si>
  <si>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</si>
  <si>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</si>
  <si>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</si>
  <si>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</si>
  <si>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</si>
  <si>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</si>
  <si>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</si>
  <si>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</si>
  <si>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</si>
  <si>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</si>
  <si>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</si>
  <si>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</si>
  <si>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</si>
  <si>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</si>
  <si>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</si>
  <si>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</si>
  <si>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3.0.2.</t>
  </si>
  <si>
    <t>Dodan razdjel 032 - 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</si>
  <si>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</si>
  <si>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</si>
  <si>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</si>
  <si>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</si>
  <si>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</si>
  <si>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</si>
  <si>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3.2.1.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Verzije </t>
    </r>
    <r>
      <rPr>
        <b/>
        <sz val="8"/>
        <color indexed="10"/>
        <rFont val="Arial"/>
        <family val="2"/>
        <charset val="238"/>
      </rPr>
      <t>Excela</t>
    </r>
    <r>
      <rPr>
        <sz val="8"/>
        <rFont val="Arial"/>
        <family val="2"/>
        <charset val="238"/>
      </rPr>
      <t xml:space="preserve"> kojima je moguće bez problema popuniti obrazac su 97, 2000, XP, 2003 te 2007. Praksa je pokazala da neke verzije Excel-a ne rade dobro bez zadnjih zakrpa (Service Pack-ova) te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2003 formatu, a ako ste pogreškom pretvorili u novi format 2007, potrebno je kroz opciju File (Datoteka), Save As (Snimi kao) ponovo snimiti u stariji format na način da se odabere format 97-2003 (na dnu prozora za snimanje).</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</si>
  <si>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ponovo snime kroz Excel jer te vanjske aplikacije iako popune sva polja u obrascu, nemaju mogućnost da pokrenu i sve izračune i kontrole u obrascima. Znači, nakon što obrazac popuni vanjska aplikacija, te ga otvorite kako biste ispisali referentnu stranicu, obavezno nakon ispisa te stranice snimite ponovo sve promjene u obrascu (kod izlaska iz Excel-a on Vas pita želite li snimiti promjene, treba obavezno odgovoriti sa Da. </t>
    </r>
  </si>
  <si>
    <t>2013-01</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</si>
  <si>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</si>
  <si>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</si>
  <si>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</si>
  <si>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</si>
  <si>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</si>
  <si>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</si>
  <si>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</si>
  <si>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</si>
  <si>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</si>
  <si>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</si>
  <si>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</si>
  <si>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</si>
  <si>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</si>
  <si>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</si>
  <si>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</si>
  <si>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</si>
  <si>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</si>
  <si>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</si>
  <si>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</si>
  <si>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</si>
  <si>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</si>
  <si>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</si>
  <si>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</si>
  <si>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</si>
  <si>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</si>
  <si>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</si>
  <si>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</si>
  <si>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</si>
  <si>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</si>
  <si>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</si>
  <si>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</si>
  <si>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</si>
  <si>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</si>
  <si>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</si>
  <si>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</si>
  <si>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</si>
  <si>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</si>
  <si>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</si>
  <si>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</si>
  <si>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S-PR-RAS</t>
  </si>
  <si>
    <t>-</t>
  </si>
  <si>
    <t>RAZDJELI</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</si>
  <si>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</si>
  <si>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</si>
  <si>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</si>
  <si>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</si>
  <si>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</si>
  <si>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</si>
  <si>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</si>
  <si>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</si>
  <si>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</si>
  <si>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</si>
  <si>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</si>
  <si>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</si>
  <si>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</si>
  <si>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</si>
  <si>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</si>
  <si>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</si>
  <si>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</si>
  <si>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</si>
  <si>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</si>
  <si>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</si>
  <si>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</si>
  <si>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</si>
  <si>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</si>
  <si>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</si>
  <si>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</si>
  <si>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</si>
  <si>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</si>
  <si>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</si>
  <si>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</si>
  <si>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</si>
  <si>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</si>
  <si>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</si>
  <si>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Pomoći unutar općeg proračuna (AOP 213 do 216)</t>
  </si>
  <si>
    <t>Ako je iznos na AOP-u 556 veći od nule, a iznos na AOP-u 829 (otplata glavnice primljenih zajmova od inozemnih vlada u 
EU-dugoročnih) je jednak nuli, provjerite AOP 829. Ako je njegov iznos stvarno toliki, zanemarite ovu kontrolu.</t>
  </si>
  <si>
    <t xml:space="preserve">Doprinosi za obvezno zdravstveno osiguranje </t>
  </si>
  <si>
    <t>Na godišnjoj razini postoji kontrola koja povezuje neke AOP pozicije obrasca NT i obrasca Bil. Vrijednost AOP oznake 062 u obrascu Bilanca mora biti jednaka vrijednosti AOP oznake 229 u obrascu NT. Zbog zaokruživanja vrijednosti, dozvoljeno je odstupanje od 1 kn. Upozorenje se javlja za razine 12, 13 i 23 gdje je iznimno moguće da kontrola i ne bude zadovoljena. Provjerite upisane podatke.</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</si>
  <si>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</si>
  <si>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</si>
  <si>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</si>
  <si>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</si>
  <si>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</si>
  <si>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</si>
  <si>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Otplata glavnice primljenih zajmova od županijskih proračuna - kratkoročnih</t>
  </si>
  <si>
    <t>54722</t>
  </si>
  <si>
    <t>Otplata glavnice primljenih zajmova od županijskih proračuna - dugoročnih</t>
  </si>
  <si>
    <t>54731</t>
  </si>
  <si>
    <t>Otplata glavnice primljenih zajmova od gradskih proračuna - kratkoročnih</t>
  </si>
  <si>
    <t>54732</t>
  </si>
  <si>
    <t>Otplata glavnice primljenih zajmova od gradskih proračuna - dugoročnih</t>
  </si>
  <si>
    <t>54741</t>
  </si>
  <si>
    <t>Otplata glavnice primljenih zajmova od općinskih proračuna - kratkoročnih</t>
  </si>
  <si>
    <t>54742</t>
  </si>
  <si>
    <t>Otplata glavnice primljenih zajmova od općinskih proračuna - dugoročnih</t>
  </si>
  <si>
    <t>54751</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</si>
  <si>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</si>
  <si>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Primici od prodaje proizvedene dugotrajne imovine</t>
  </si>
  <si>
    <t>Ako je iznos na AOP-u 557 veći od nule, a iznos na AOP-u 830 (otplata glavnice primljenih zajmova od inozemnih vlada izvan EU - dugoročnih) je jednak nuli, provjerite AOP 830. Ako je njegov iznos stvarno toliki, zanemarite ovu kontrolu.</t>
  </si>
  <si>
    <t>Ako je iznos na AOP-u 563 veći od nule, a iznos na AOP-u 835 (otplata glavnice primljenih zajmova od trgovačkih društava u javnomm sektoru - dugoročnih) je jednak nuli, provjerite AOP 835. Ako je njegov iznos stvarno toliki, zanemarite ovu kontrolu.</t>
  </si>
  <si>
    <t>Ako je iznos na AOP-u 574 veći od nule, a iznos na AOP-u 846 (otplata glavnice primljenih zajmova od inozemnih trgovačkih društava - dugoročnih) je jednak nuli, provjerite AOP 846. Ako je njegov iznos stvarno toliki, zanemarite ovu kontrolu.</t>
  </si>
  <si>
    <t>Osnovna kontrola u bilanci: Imovina = Obveze i vlastiti izvori (AOP 001 = AOP 146) mora biti zadovoljena. Dozvoljeno je odstupanje od 1 kn zbog zaokruživanja.</t>
  </si>
  <si>
    <t>Na AOP oznaci 036 mora biti zadovoljena i kontrola: AOP 036 = 037+090 ili drukčije rečeno, ukupno stanje svih obveza na kraju razdoblja (AOP 036) mora biti jednako zbroju dospjelih obveza (AOP 037) i nedospjelih obveza (AOP 090). Dozvoljeno je odstupanje od najviše 1 kune zbog zaokruživanja.</t>
  </si>
  <si>
    <t>AOP 023 u oba stupca mora biti jednak sumi AOP-a: 074 do 083. Zbog zaokruživanja je dopušteno odstupanje od 1kn.</t>
  </si>
  <si>
    <t>AOP 026 u oba stupca mora biti jednak sumi AOP-a: 085 do  089. Zbog zaokruživanja je dopušteno odstupanje od 1kn.</t>
  </si>
  <si>
    <t>AOP oznaka 009 i AOP oznaka 041 bi u principu trebale biti jednake u oba stupca podataka. Kontrola upozorava ako se iznosi razlikuju dopušteno je odstupanje od 1 kn zbog zaokruživanja.</t>
  </si>
  <si>
    <t>BIL (VP 158)</t>
  </si>
  <si>
    <t>Prihodi od prodaje nefinancijske imovine (AOP 252+264+296+300)</t>
  </si>
  <si>
    <t>Prihodi od prodaje neproizvedene dugotrajne imovine (AOP 253+257)</t>
  </si>
  <si>
    <t>Prihodi od prodaje materijalne imovine - prirodnih bogatstava (AOP 254 do 256)</t>
  </si>
  <si>
    <t>Zemljište</t>
  </si>
  <si>
    <t>Odgođeno plaćanje rashoda i prihodi budućih razdoblja (AOP 203+204)</t>
  </si>
  <si>
    <t>Vlastiti izvori (206+214-218+222+223+224)</t>
  </si>
  <si>
    <t>Vlastiti izvori i ispravak vlastitih izvora (AOP 207-210)</t>
  </si>
  <si>
    <t>Vlastiti izvori (AOP 208+209)</t>
  </si>
  <si>
    <t>Ispravak vlastitih izvora za obveze (AOP 211+212)</t>
  </si>
  <si>
    <t>Višak prihoda (AOP 215 do 217)</t>
  </si>
  <si>
    <t>Manjak prihoda (AOP 219 do 221)</t>
  </si>
  <si>
    <t>Izvanbilančni zapisi - aktiva (AOP 227)</t>
  </si>
  <si>
    <t>OBVEZNI ANALITIČKI PODACI O JAMSTVIMA</t>
  </si>
  <si>
    <t>OBVEZNI ANALITIČKI PODACI O DUGOROČNIM DEPOZITIMA</t>
  </si>
  <si>
    <t>13731</t>
  </si>
  <si>
    <t>13732</t>
  </si>
  <si>
    <t>13741</t>
  </si>
  <si>
    <t>13742</t>
  </si>
  <si>
    <t>13751</t>
  </si>
  <si>
    <t>Zajmovi HZMO-u, HZZ-u, HZZO-u - kratkoročni</t>
  </si>
  <si>
    <t>13752</t>
  </si>
  <si>
    <t>Zajmovi HZMO-u, HZZ-u, HZZO-u - dugoročni</t>
  </si>
  <si>
    <t>13761</t>
  </si>
  <si>
    <t>13762</t>
  </si>
  <si>
    <t>13771</t>
  </si>
  <si>
    <t>13772</t>
  </si>
  <si>
    <t>26711</t>
  </si>
  <si>
    <t>26712</t>
  </si>
  <si>
    <t>26721</t>
  </si>
  <si>
    <t>26722</t>
  </si>
  <si>
    <t>26731</t>
  </si>
  <si>
    <t>26732</t>
  </si>
  <si>
    <t>26741</t>
  </si>
  <si>
    <t>26742</t>
  </si>
  <si>
    <t>26751</t>
  </si>
  <si>
    <t>26752</t>
  </si>
  <si>
    <t>26761</t>
  </si>
  <si>
    <t>26762</t>
  </si>
  <si>
    <t>26771</t>
  </si>
  <si>
    <t>26772</t>
  </si>
  <si>
    <t>Kontrolni zbroj (AOP 228 do 261)</t>
  </si>
  <si>
    <t>Stanje aktivnih jamstava 31.12. (AOP 263+266-267)</t>
  </si>
  <si>
    <t>Primljeni povrati od prvobitnih dužnika za koje je jamstvo plaćeno</t>
  </si>
  <si>
    <t>Kontrolni zbroj (AOP 263 do 269)</t>
  </si>
  <si>
    <t>Položeni dugoročni depoziti u tekućoj godini</t>
  </si>
  <si>
    <t>Povlačenje dugoročnih depozita</t>
  </si>
  <si>
    <t>Stanje dugoročnih depozita 31.12. (AOP 271+272-273)</t>
  </si>
  <si>
    <t>Kontrolni zbroj (AOP 271 do 274)</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</si>
  <si>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</si>
  <si>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</si>
  <si>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</si>
  <si>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</si>
  <si>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</si>
  <si>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</si>
  <si>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</si>
  <si>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</si>
  <si>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</si>
  <si>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</si>
  <si>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</si>
  <si>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</si>
  <si>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</si>
  <si>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</si>
  <si>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Ostvareno u izvještajnom razdoblju tekuće godine</t>
  </si>
  <si>
    <t xml:space="preserve">PRIHODI POSLOVANJA (AOP 002 do 007) </t>
  </si>
  <si>
    <t xml:space="preserve">Pomoći iz inozemstva (darovnice) i od subjekata unutar općeg proračuna </t>
  </si>
  <si>
    <t>Prihodi od upravnih i administrativnih pristojbi, pristojbi po posebnim propisima i naknada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</si>
  <si>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</si>
  <si>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Obveznici koji su koristili mogućnost da stave oznaku "Vrijedi i kao konsolidirani" više nemaju tu mogućnost, iz razloga što obvezni set obrazaca razine 22 i razine 23, te razine 11 i 12 nije isti, već moraju predati dvije Excel datoteke i dvije ispisane i potpisane Referentne stranice.</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</si>
  <si>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</si>
  <si>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</si>
  <si>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</si>
  <si>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</si>
  <si>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</si>
  <si>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</si>
  <si>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</si>
  <si>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</si>
  <si>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</si>
  <si>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</si>
  <si>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</si>
  <si>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</si>
  <si>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</si>
  <si>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</si>
  <si>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</si>
  <si>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</si>
  <si>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</si>
  <si>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</si>
  <si>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</si>
  <si>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</si>
  <si>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</si>
  <si>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</si>
  <si>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</si>
  <si>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</si>
  <si>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</si>
  <si>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</si>
  <si>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</si>
  <si>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</si>
  <si>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</si>
  <si>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</si>
  <si>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</si>
  <si>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</si>
  <si>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</si>
  <si>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</si>
  <si>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</si>
  <si>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</si>
  <si>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</si>
  <si>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</si>
  <si>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</si>
  <si>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</si>
  <si>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</si>
  <si>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AOP 239 mora biti jednak zbroju AOP-a: 729+730 u oba stupca podataka. Dopušteno je odstupanje od 1kn zbog zaokruživanja.</t>
  </si>
  <si>
    <t>AOP 399 mora biti jednak zbroju AOP-a 742+743 u oba stupca podataka. Dopušteno je odstupanje od 1 kn zbog zaokruživanja</t>
  </si>
  <si>
    <t>AOP 408 mora biti jednak zbroju AOP-a:747+748 u oba stupca podataka. Dopušteno je odstupanje od 1 kn zbog zaokruživanja</t>
  </si>
  <si>
    <t>AOP 409 mora biti jednak zbroju AOP-a:749+750 u oba stupca podataka. Dopušteno je odstupanje od 1 kn zbog zaokruživanja</t>
  </si>
  <si>
    <t>AOP 413 mora biti jednak zbroju AOP-a: 751+752 u oba stupca podataka. Dopušteno je odstupanje od 1 kn zbog zaokruživanja</t>
  </si>
  <si>
    <t>AOP 414 mora biti jednak zbroju AOP-a: 753+754 u oba stupca podataka. Dopušteno je odstupanje od 1 kn zbog zaokruživanja</t>
  </si>
  <si>
    <t>AOP 415 mora biti jednak zbroju AOP-a: 755+756 u oba stupca podataka. Dopušteno je odstupanje od 1 kn zbog zaokruživanja</t>
  </si>
  <si>
    <t>AOP 416 mora biti jednak zbroju AOP-a: 757+758 u oba stupca podataka. Dopušteno je odstupanje od 1 kn zbog zaokruživanja</t>
  </si>
  <si>
    <t>AOP 417 mora biti jednak zbroju AOP-a: 759+760 u oba stupca podataka. Dopušteno je odstupanje od 1 kn zbog zaokruživanja</t>
  </si>
  <si>
    <t>AOP 418 mora biti jednak zbroju AOP-a: 761+762 u oba stupca podataka. Dopušteno je odstupanje od 1 kn zbog zaokruživanja</t>
  </si>
  <si>
    <t>AOP 419 mora biti jednak zbroju AOP-a: 763+764 u oba stupca podataka. Dopušteno je odstupanje od 1 kn zbog zaokruživanja</t>
  </si>
  <si>
    <t>AOP 765 je samo dio AOP-a 431 i mora biti manji ili jednak njemu u oba stupca podataka</t>
  </si>
  <si>
    <t>AOP 766 je samo dio AOP-a 448 i mora biti manji ili jednak njemu u oba stupca podataka</t>
  </si>
  <si>
    <t>AOP 767 je samo dio AOP-a 449 i mora biti manji ili jednak njemu u oba stupca podataka</t>
  </si>
  <si>
    <t>AOP 768 je samo dio AOP-a 450 i mora biti manji ili jednak njemu u oba stupca podataka</t>
  </si>
  <si>
    <t>Ispravak ostalih vlastitih izvora za obveze</t>
  </si>
  <si>
    <t>922</t>
  </si>
  <si>
    <t>Višak/manjak prihoda (ne upisuje se podatak)</t>
  </si>
  <si>
    <t>9221</t>
  </si>
  <si>
    <t>Višak prihoda poslovanja</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</si>
  <si>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</si>
  <si>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</si>
  <si>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</si>
  <si>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</si>
  <si>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</si>
  <si>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</si>
  <si>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</si>
  <si>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</si>
  <si>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</si>
  <si>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</si>
  <si>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</si>
  <si>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r>
      <t xml:space="preserve">Razina 11
- ne </t>
    </r>
    <r>
      <rPr>
        <sz val="8"/>
        <rFont val="Arial"/>
        <family val="2"/>
        <charset val="238"/>
      </rPr>
      <t xml:space="preserve">predaje </t>
    </r>
    <r>
      <rPr>
        <b/>
        <sz val="8"/>
        <rFont val="Arial"/>
        <family val="2"/>
        <charset val="238"/>
      </rPr>
      <t>mjesečni</t>
    </r>
    <r>
      <rPr>
        <sz val="8"/>
        <rFont val="Arial"/>
        <family val="2"/>
        <charset val="238"/>
      </rPr>
      <t xml:space="preserve"> obrazac Obveze (pročitajte dio na početku uputa o predaji nadležnim organima)
- za </t>
    </r>
    <r>
      <rPr>
        <b/>
        <sz val="8"/>
        <rFont val="Arial"/>
        <family val="2"/>
        <charset val="238"/>
      </rPr>
      <t>kvartalni</t>
    </r>
    <r>
      <rPr>
        <sz val="8"/>
        <rFont val="Arial"/>
        <family val="2"/>
        <charset val="238"/>
      </rPr>
      <t xml:space="preserve"> obračun (prvi i treći kvartal) predaje samo S-PR-RAS obrazac,
- za </t>
    </r>
    <r>
      <rPr>
        <b/>
        <sz val="8"/>
        <rFont val="Arial"/>
        <family val="2"/>
        <charset val="238"/>
      </rPr>
      <t>polugodište</t>
    </r>
    <r>
      <rPr>
        <sz val="8"/>
        <rFont val="Arial"/>
        <family val="2"/>
        <charset val="238"/>
      </rPr>
      <t xml:space="preserve"> predaje samo PR-RAS obrazac,
- za </t>
    </r>
    <r>
      <rPr>
        <b/>
        <sz val="8"/>
        <rFont val="Arial"/>
        <family val="2"/>
        <charset val="238"/>
      </rPr>
      <t>kraj godine</t>
    </r>
    <r>
      <rPr>
        <sz val="8"/>
        <rFont val="Arial"/>
        <family val="2"/>
        <charset val="238"/>
      </rPr>
      <t xml:space="preserve"> predaje tri obrasca: PR-RAS, BIL i P-VRIO. 
Ako za odabrano razdoblje nije popunjen obrazac koji bi trebao biti, ili je popunjen obrazac koji se ne predaje kontrola javlja pogrešku.</t>
    </r>
  </si>
  <si>
    <t>Usluge preseljenja</t>
  </si>
  <si>
    <t>Oznaku razdjela upisuju samo obveznici razine 11 i 12, dok sve ostale razine ne upisuju razdjel, tj. u razdjel upisuju nulu.</t>
  </si>
  <si>
    <t>NOVI VINODOLSKI</t>
  </si>
  <si>
    <t>NOVIGRAD</t>
  </si>
  <si>
    <t>NOVIGRAD PODRAVSKI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</si>
  <si>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2012-12 na bilanci će se pojaviti datumi razdoblja za koje se izvještava (tj. 1.1. do 31. 12.), dok će se na obrascu obveze pojaviti datumi 1.10 do 31. 12 jer je to stvarno razdoblje izvještavanja za taj obrazac. Isto tako, ako se neki obrazac ne predaje za neko određeno razdoblje, u zaglavlju tog obrasca će biti ispisan tekst - "za odabrano razdoblje i razinu obrazac se ne popunjava" (primjerice, Bil se popunjava samo za razdoblje 20XX-12, PR-RAS se popunjava samo za kvartale, dok se mjesečne obveze predaju za sve mjesece itd.).</t>
    </r>
  </si>
  <si>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</si>
  <si>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</si>
  <si>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</si>
  <si>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</si>
  <si>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</si>
  <si>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</si>
  <si>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</si>
  <si>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</si>
  <si>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</si>
  <si>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</si>
  <si>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</si>
  <si>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</si>
  <si>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</si>
  <si>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</si>
  <si>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</si>
  <si>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</si>
  <si>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</si>
  <si>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</si>
  <si>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</si>
  <si>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</si>
  <si>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</si>
  <si>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</si>
  <si>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</si>
  <si>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</si>
  <si>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</si>
  <si>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</si>
  <si>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</si>
  <si>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</si>
  <si>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</si>
  <si>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</si>
  <si>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</si>
  <si>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NOVČANA SREDSTVA NA POČETKU RAZDOBLJA</t>
  </si>
  <si>
    <t>NOVČANA SREDSTVA NA KRAJU RAZDOBLJA</t>
  </si>
  <si>
    <t>Stipendije i školarine</t>
  </si>
  <si>
    <t>Novosti</t>
  </si>
  <si>
    <r>
      <t xml:space="preserve">Obrazac NT
</t>
    </r>
    <r>
      <rPr>
        <b/>
        <sz val="12"/>
        <color indexed="9"/>
        <rFont val="Arial"/>
        <family val="2"/>
        <charset val="238"/>
      </rPr>
      <t>(VP 153)</t>
    </r>
  </si>
  <si>
    <t>Stanje 1. siječnja</t>
  </si>
  <si>
    <t>Stanje 31. prosinca</t>
  </si>
  <si>
    <t>IMOVINA (AOP 002+061)</t>
  </si>
  <si>
    <t>Nefinancijska imovina (AOP 003+007+045+046+050+057)</t>
  </si>
  <si>
    <t>01</t>
  </si>
  <si>
    <t>Obveze za inozemne kredite i zajmove</t>
  </si>
  <si>
    <t>Obveze za tuzemne kredite i zajmove</t>
  </si>
  <si>
    <t>Obveze za čekove i mjenice</t>
  </si>
  <si>
    <t>Obveze za kazne, naknade šteta i kapitalne pomoći te ostale tekuće obveze</t>
  </si>
  <si>
    <t>Stanje dospjelih obveza na kraju izvještajnog razdoblja (AOP 038+043+079+084)</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</si>
  <si>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</si>
  <si>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</si>
  <si>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</si>
  <si>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</si>
  <si>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</si>
  <si>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</si>
  <si>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</si>
  <si>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</si>
  <si>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</si>
  <si>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</si>
  <si>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</si>
  <si>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</si>
  <si>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Primljene otplate (povrati) glavnice danih zajmova</t>
  </si>
  <si>
    <t>Primici od prodaje dionica i udjela u glavnici</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</si>
  <si>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</si>
  <si>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</si>
  <si>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</si>
  <si>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</si>
  <si>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</si>
  <si>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</si>
  <si>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</si>
  <si>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</si>
  <si>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</si>
  <si>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</si>
  <si>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</si>
  <si>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</si>
  <si>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S-PR-RAS (VP 161)</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</si>
  <si>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</si>
  <si>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</si>
  <si>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</si>
  <si>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</si>
  <si>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</si>
  <si>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</si>
  <si>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</si>
  <si>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</si>
  <si>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</si>
  <si>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</si>
  <si>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</si>
  <si>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</si>
  <si>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</si>
  <si>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</si>
  <si>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</si>
  <si>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</si>
  <si>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</si>
  <si>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</si>
  <si>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AOP oznake 215 i 219 ne mogu biti popunjene istovremeno ni u jednom stupcu obrasca</t>
  </si>
  <si>
    <t>AOP oznake 216 i 220 ne mogu biti popunjene istovremeno ni u jednom stupcu obrasca</t>
  </si>
  <si>
    <t>Aop oznake 217 i 221 ne mogu biti popunjene istovremeno ni u jednom stupcu obrasca</t>
  </si>
  <si>
    <t>AOP 505 mora biti jednak zbroju AOP-a: 804+805 u oba stupca podataka. Dopušteno je odstupanje od 1kn zbog zaokruživanja.</t>
  </si>
  <si>
    <t>AOP 514 mora biti jednak zbroju AOP-a: 809+810 u oba stupca podataka. Dopušteno je odstupanje od 1kn zbog zaokruživanja.</t>
  </si>
  <si>
    <t>AOP 515 mora biti jednak zbroju AOP-a: 811+812 u oba stupca podataka. Dopušteno je odstupanje od 1kn zbog zaokruživanja.</t>
  </si>
  <si>
    <t>AOP 519 mora biti jednak zbroju AOP-a: 813+814 u oba stupca podataka. Dopušteno je odstupanje od 1kn zbog zaokruživanja.</t>
  </si>
  <si>
    <t>AOP 520 mora biti jednak zbroju AOP-a: 815+816 u oba stupca podataka. Dopušteno je odstupanje od 1kn zbog zaokruživanja.</t>
  </si>
  <si>
    <t>AOP 521 mora biti jednak zbroju AOP-a: 817+818 u oba stupca podataka. Dopušteno je odstupanje od 1kn zbog zaokruživanja.</t>
  </si>
  <si>
    <t>AOP 522 mora biti jednak zbroju AOP-a: 819+820 u oba stupca podataka. Dopušteno je odstupanje od 1kn zbog zaokruživanja.</t>
  </si>
  <si>
    <t>AOP 523 mora biti jednak zbroju AOP-a: 821+822 u oba stupca podataka. Dopušteno je odstupanje od 1kn zbog zaokruživanja.</t>
  </si>
  <si>
    <t>AOP 524 mora biti jednak zbroju AOP-a: 823+824 u oba stupca podataka. Dopušteno je odstupanje od 1kn zbog zaokruživanja.</t>
  </si>
  <si>
    <t>AOP 525 mora biti jednak zbroju AOP-a: 825+826 u oba stupca podataka. Dopušteno je odstupanje od 1kn zbog zaokruživanja.</t>
  </si>
  <si>
    <t>AOP 559 mora biti jednak zbroju AOP-a: 831+832 u oba stupca podataka. Dopušteno je odstupanje od 1kn zbog zaokruživanja.</t>
  </si>
  <si>
    <t>AOP 568 mora biti jednak zbroju AOP-a:840+841 u oba stupca podataka. Dopušteno je odstupanje od 1kn zbog zaokruživanja.</t>
  </si>
  <si>
    <t>AOP 577 mora biti jednak zbroju AOP-a: 847+848 u oba stupca podataka. Dopušteno je odstupanje od 1kn zbog zaokruživanja.</t>
  </si>
  <si>
    <t>AOP 578 mora biti jednak zbroju AOP-a: 849+850 u oba stupca podataka. Dopušteno je odstupanje od 1kn zbog zaokruživanja.</t>
  </si>
  <si>
    <t>AOP 579 mora biti jednak zbroju AOP-a: 851+852 u oba stupca podataka. Dopušteno je odstupanje od 1kn zbog zaokruživanja.</t>
  </si>
  <si>
    <t>AOP 580 mora biti jednak zbroju AOP-a: 853+854 u oba stupca podataka. Dopušteno je odstupanje od 1kn zbog zaokruživanja.</t>
  </si>
  <si>
    <t>AOP 581 mora biti jednak zbroju AOP-a: 855+856 u oba stupca podataka. Dopušteno je odstupanje od 1kn zbog zaokruživanja.</t>
  </si>
  <si>
    <t>AOP 582 mora biti jednak zbroju AOP-a: 857+858 u oba stupca podataka. Dopušteno je odstupanje od 1kn zbog zaokruživanja.</t>
  </si>
  <si>
    <t>AOP 583 mora biti jednak zbroju AOP-a: 859+860 u oba stupca podataka. Dopušteno je odstupanje od 1kn zbog zaokruživanja.</t>
  </si>
  <si>
    <t>AOP 079 mora biti jednak AOP 228+229 u oba stupca podataka. Dopušteno je odstupanje od 1kn zbog zaokruživanja.</t>
  </si>
  <si>
    <t>Ako je iznos na AOP-u 392 veći od nule, a iznos na AOP-u 738 (povrat zajmova danih neprofitnim organizacijama, građanima i kkućanstvima u tuzemstvu - dugoročni) je jednak nuli, provjerite AOP 738. Ako je njegov iznos stvarno toliki, zanemarite ovu kontrolu.</t>
  </si>
  <si>
    <t>Ako je iznos na AOP-u 395 veći od nule, a iznos na AOP-u 739 (povrat zajmova danih kreditnim institucijama u javnom sektoru - dugoročni) je jednak nuli, provjerite AOP 739. Ako je njegov iznos stvarno toliki, zanemarite ovu kontrolu.</t>
  </si>
  <si>
    <t>Ako je iznos na AOP-u 396 veći od nule, a iznos na AOP-u 740 (povrat zajmova danih osiguravajućim društvima u javnom sektoru - dugoročni) je jednak nuli, provjerite AOP 396 . Ako je njegov iznos stvarno toliki, zanemarite ovu kontrolu.</t>
  </si>
  <si>
    <t>Ako je iznos na AOP-u 397 veći od nule, a iznos na AOP-u 741 (povrat zajmova danih ostalim financijskim institucijama u javnom sektoru - dugoročni) je jednak nuli, provjerite AOP 741. Ako je njegov iznos stvarno toliki, zanemarite ovu kontrolu.</t>
  </si>
  <si>
    <t>Ako je iznos na AOP-u 401 veći od nule, a iznos na AOP-u 744 (povrat zajmova danih tuzemnim kreditnim institucijama izvan javnog sektora - dugoročni) je jednak nuli, provjerite AOP 744 . Ako je njegov iznos stvarno toliki, zanemarite ovu kontrolu.</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</si>
  <si>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</si>
  <si>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</si>
  <si>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</si>
  <si>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</si>
  <si>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</si>
  <si>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</si>
  <si>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</si>
  <si>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</si>
  <si>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</si>
  <si>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</si>
  <si>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</si>
  <si>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</si>
  <si>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</si>
  <si>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</si>
  <si>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</si>
  <si>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</si>
  <si>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</si>
  <si>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</si>
  <si>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</si>
  <si>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</si>
  <si>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</si>
  <si>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</si>
  <si>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</si>
  <si>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</si>
  <si>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</si>
  <si>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</si>
  <si>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</si>
  <si>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</si>
  <si>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</si>
  <si>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</si>
  <si>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</si>
  <si>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</si>
  <si>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</si>
  <si>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</si>
  <si>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</si>
  <si>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</si>
  <si>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</si>
  <si>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</si>
  <si>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</si>
  <si>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</si>
  <si>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</si>
  <si>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</si>
  <si>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</si>
  <si>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</si>
  <si>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</si>
  <si>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</si>
  <si>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</si>
  <si>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</si>
  <si>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</si>
  <si>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</si>
  <si>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</si>
  <si>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</si>
  <si>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</si>
  <si>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</si>
  <si>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</si>
  <si>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</si>
  <si>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</si>
  <si>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</si>
  <si>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Uzgoj deva i ljama</t>
  </si>
  <si>
    <t>Mješovita proizvodnja</t>
  </si>
  <si>
    <t>Pomoćne djelatnosti za uzgoj usjeva</t>
  </si>
  <si>
    <t>Proizvodnja sastavljenog parketa</t>
  </si>
  <si>
    <t>Proizvodnja ostale građevne stolarije i elemenata</t>
  </si>
  <si>
    <t>Otplata glavnice primljenih zajmova od izvanproračunskih korisnika županijskih, gradskih i općinskih proračuna - dugoročnih</t>
  </si>
  <si>
    <t>Kontrolni zbroj (AOP 363 do AOP 398)</t>
  </si>
  <si>
    <t>Predujmovi za nabavu plemenitih metala, umjetničkih i znanstvenih djela i ostalih 
vrijednosti (AOP 357)</t>
  </si>
  <si>
    <t>Subvencije trgovačkim društvima, poljoprivrednicima i obrtnicima izvan javnog sektora 
(AOP 202 do 204)</t>
  </si>
  <si>
    <t>Primljeni krediti i zajmovi od kreditnih i ostalih financijskih institucija u javnom sektoru 
(AOP 453 do 455)</t>
  </si>
  <si>
    <t>Izdaci za dane zajmove kreditnim i ostalim financijskim institucijama u javnom sektoru 
(AOP 501 do 503)</t>
  </si>
  <si>
    <t>Izdaci za dane zajmove kreditnim i ostalim financijskim institucijama izvan javnog sektora 
(AOP 507 do 512)</t>
  </si>
  <si>
    <t>Dionice i udjeli u glavnici kreditnih i ostalih financijskih institucija izvan javnog sektora 
(AOP 547+548)</t>
  </si>
  <si>
    <t>Otplata glavnice primljenih zajmova od trgovačkih društava i obrtnika izvan javnog sektora 
(AOP 572 do 575)</t>
  </si>
  <si>
    <t>Otplata glavnice primljenih zajmova od ostalih tuzemnih financijskih institucija izvan 
javnog sektora</t>
  </si>
  <si>
    <t>Osnovno stado</t>
  </si>
  <si>
    <t>Popravak satova i nakita</t>
  </si>
  <si>
    <t>Ostali smještaj</t>
  </si>
  <si>
    <t>Šifra</t>
  </si>
  <si>
    <t xml:space="preserve">Zatezne kamate </t>
  </si>
  <si>
    <t>Ostali nespomenuti financijski rashodi</t>
  </si>
  <si>
    <t>35</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</si>
  <si>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</si>
  <si>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</si>
  <si>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</si>
  <si>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</si>
  <si>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</si>
  <si>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</si>
  <si>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</si>
  <si>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</si>
  <si>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</si>
  <si>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</si>
  <si>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</si>
  <si>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</si>
  <si>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</si>
  <si>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</si>
  <si>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</si>
  <si>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</si>
  <si>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</si>
  <si>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</si>
  <si>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</si>
  <si>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</si>
  <si>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</si>
  <si>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</si>
  <si>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</si>
  <si>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</si>
  <si>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</si>
  <si>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</si>
  <si>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Rashodi za nabavu proizvedene dugotrajne imovine u tijelima</t>
  </si>
  <si>
    <t>Rashodi za nabavu proizvedene dugotrajne imovine kod korisnika</t>
  </si>
  <si>
    <t>Rashodi za dodatna ulaganja na nefinancijskoj imovini u tijelima</t>
  </si>
  <si>
    <t>Rashodi za dodatna ulaganja na nefinancijskoj imovini kod korisnika</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</si>
  <si>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</si>
  <si>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</si>
  <si>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</si>
  <si>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</si>
  <si>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</si>
  <si>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</si>
  <si>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</si>
  <si>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</si>
  <si>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</si>
  <si>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</si>
  <si>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</si>
  <si>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</si>
  <si>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</si>
  <si>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</si>
  <si>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</si>
  <si>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</si>
  <si>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</si>
  <si>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</si>
  <si>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</si>
  <si>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</si>
  <si>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</si>
  <si>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</si>
  <si>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</si>
  <si>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</si>
  <si>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</si>
  <si>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</si>
  <si>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</si>
  <si>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</si>
  <si>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</si>
  <si>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</si>
  <si>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</si>
  <si>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</si>
  <si>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</si>
  <si>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</si>
  <si>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</si>
  <si>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</si>
  <si>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</si>
  <si>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</si>
  <si>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</si>
  <si>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</si>
  <si>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</si>
  <si>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</si>
  <si>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</si>
  <si>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</si>
  <si>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</si>
  <si>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</si>
  <si>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</si>
  <si>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</si>
  <si>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</si>
  <si>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</si>
  <si>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</si>
  <si>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Prosječan broj zaposlenih u tijelima na osnovi stanja krajem izvještajnog razdoblja (cijeli broj)</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</si>
  <si>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</si>
  <si>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</si>
  <si>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</si>
  <si>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</si>
  <si>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</si>
  <si>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</si>
  <si>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</si>
  <si>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</si>
  <si>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</si>
  <si>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</si>
  <si>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</si>
  <si>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</si>
  <si>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</si>
  <si>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</si>
  <si>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</si>
  <si>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</si>
  <si>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</si>
  <si>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</si>
  <si>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</si>
  <si>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</si>
  <si>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</si>
  <si>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Omogućen unos obrasca Obveze za travanj 2011. godine</t>
  </si>
  <si>
    <t>2.9.1.</t>
  </si>
  <si>
    <t>Otplata glavnice primljenih zajmova od ostalih izvanproračunskih korisnika državnog proračuna - kratkoročnih</t>
  </si>
  <si>
    <t>54762</t>
  </si>
  <si>
    <t>Otplata glavnice primljenih zajmova od ostalih izvanproračunskih korisnika državnog proračuna - dugoročnih</t>
  </si>
  <si>
    <t>54771</t>
  </si>
  <si>
    <t>Otplata glavnice primljenih zajmova od izvanproračunskih korisnika županijskih, gradskih i općinskih proračuna - kratkoročnih</t>
  </si>
  <si>
    <t>54772</t>
  </si>
  <si>
    <t>Povrat zajmova danih neprofitnim organizacijama, građanima i kućanstvima u tuzemstvu – dugoročni</t>
  </si>
  <si>
    <t>Dani zajmovi županijskim proračunima - dugoročni</t>
  </si>
  <si>
    <t>51731</t>
  </si>
  <si>
    <t>DRŽAVNI ZAVOD ZA STATISTIKU</t>
  </si>
  <si>
    <t>Vađenje treseta</t>
  </si>
  <si>
    <t>Vađenje soli</t>
  </si>
  <si>
    <t>Vađenje ostalih ruda i kamena, d. n.</t>
  </si>
  <si>
    <t>Pomoćne djelatnosti za vađenje nafte i prirodnog plina</t>
  </si>
  <si>
    <t>Aktivnosti socijalne zaštite koje nisu drugdje svrstane</t>
  </si>
  <si>
    <t>IZVJEŠTAJ O NOVČANIM TIJEKOVIMA</t>
  </si>
  <si>
    <t>Porezi</t>
  </si>
  <si>
    <t>Novac u banci</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</si>
  <si>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</si>
  <si>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</si>
  <si>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</si>
  <si>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</si>
  <si>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</si>
  <si>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</si>
  <si>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</si>
  <si>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</si>
  <si>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</si>
  <si>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</si>
  <si>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</si>
  <si>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</si>
  <si>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</si>
  <si>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</si>
  <si>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</si>
  <si>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</si>
  <si>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</si>
  <si>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</si>
  <si>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</si>
  <si>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</si>
  <si>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</si>
  <si>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</si>
  <si>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</si>
  <si>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</si>
  <si>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</si>
  <si>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</si>
  <si>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</si>
  <si>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</si>
  <si>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</si>
  <si>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</si>
  <si>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</si>
  <si>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</si>
  <si>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</si>
  <si>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</si>
  <si>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</si>
  <si>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</si>
  <si>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</si>
  <si>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</si>
  <si>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</si>
  <si>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</si>
  <si>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</si>
  <si>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</si>
  <si>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</si>
  <si>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</si>
  <si>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</si>
  <si>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</si>
  <si>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</si>
  <si>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</si>
  <si>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</si>
  <si>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</si>
  <si>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</si>
  <si>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</si>
  <si>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</si>
  <si>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</si>
  <si>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</si>
  <si>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</si>
  <si>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</si>
  <si>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</si>
  <si>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AOP 474 mora biti jednak zbroju AOP-a: 792+793 u oba stupca podataka. Dopušteno je odstupanje od 1kn zbog zaokruživanja.</t>
  </si>
  <si>
    <t>AOP 475 mora biti jednak zbroju AOP-a: 794+795 u oba stupca podataka. Dopušteno je odstupanje od 1kn zbog zaokruživanja.</t>
  </si>
  <si>
    <t>AOP 476 mora biti jednak zbroju AOP-a: 796+797 u oba stupca podataka. Dopušteno je odstupanje od 1kn zbog zaokruživanja.</t>
  </si>
  <si>
    <t>Suma AOP oznaka 048 do 058+060 do 063 mora biti manja ili jednaka AOP oznaci 047.</t>
  </si>
  <si>
    <t>AOP 015 u oba stupca mora biti veći ili jednak sumi AOP-a: 069+070</t>
  </si>
  <si>
    <t>Zajmovi županijskim proračunima - dugoročni</t>
  </si>
  <si>
    <t>Zajmovi gradskim proračunima - kratkoročni</t>
  </si>
  <si>
    <t>Zajmovi gradskim proračunima - dugoročni</t>
  </si>
  <si>
    <t>Zajmovi općinskim proračunima - kratkoročni</t>
  </si>
  <si>
    <t>Zajmovi općinskim proračunima - dugoročni</t>
  </si>
  <si>
    <t>Zajmovi HZMO-u, HZZ-u i HZZO-u - kratkoročni</t>
  </si>
  <si>
    <t>Zajmovi HZMO-u, HZZ-u i HZZO-u - dugoročni</t>
  </si>
  <si>
    <t>Zajmovi ostalim izvanproračunskim korisnicima državnog proračuna - kratkoročni</t>
  </si>
  <si>
    <t>Zajmovi ostalim izvanproračunskim korisnicima državnog proračuna - dugoročni</t>
  </si>
  <si>
    <t>Zajmovi izvanproračunskim korisnicima županijskih, gradskih i općinskih proračuna - kratkoročni</t>
  </si>
  <si>
    <t>Zajmovi izvanproračunskim korisnicima županijskih, gradskih i općinskih proračuna - dugoročni</t>
  </si>
  <si>
    <t>Stanje obveza za primljene zajmove od drugih razina vlasti (AOP 886 do 899)</t>
  </si>
  <si>
    <t>Obveze za zajmove od državnog proračuna - kratkoročne</t>
  </si>
  <si>
    <t>Obveze za zajmove od državnog proračuna - dugoročne</t>
  </si>
  <si>
    <t>Obveze za zajmove od županijskih proračuna - kratkoročne</t>
  </si>
  <si>
    <t>Obveze za zajmove od županijskih proračuna - dugoročne</t>
  </si>
  <si>
    <t>Obveze za zajmove od gradskih proračuna - kratkoročne</t>
  </si>
  <si>
    <t>Obveze za zajmove od gradskih proračuna - dugoročne</t>
  </si>
  <si>
    <t>Obveze za zajmove od općinskih proračuna - kratkoročne</t>
  </si>
  <si>
    <t>Obveze za zajmove od općinskih proračuna - dugoročne</t>
  </si>
  <si>
    <t>Obveze za zajmove od HZMO-a, HZZ-a i HZZO-a - kratkoročne</t>
  </si>
  <si>
    <t>Obveze za zajmove od HZMO-a, HZZ-a i HZZO-a - dugoročne</t>
  </si>
  <si>
    <t>Obveze za zajmove od ostalih izvanproračunskih korisnika državnog proračuna - kratkoročne</t>
  </si>
  <si>
    <t>Obveze za zajmove od ostalih izvanproračunskih korisnika državnog proračuna - dugoročne</t>
  </si>
  <si>
    <t>Pomoći od ostalih subjekata unutar općeg proračuna (AOP 062+063)</t>
  </si>
  <si>
    <t>Stanje dugoročnih depozita 1.1.</t>
  </si>
  <si>
    <t>Povrat zajmova danih neprofitnim organizacijama, građanima i kućanstvima u tuzemstvu</t>
  </si>
  <si>
    <t>Povrat zajmova danih neprofitnim organizacijama, građanima i kućanstvima u inozemstvu</t>
  </si>
  <si>
    <t>Usluge telefona, pošte i prijevoza</t>
  </si>
  <si>
    <t>Usluge tekućeg i investicijskog održavanja</t>
  </si>
  <si>
    <t>Usluge promidžbe i informiranja</t>
  </si>
  <si>
    <t>Komunalne usluge</t>
  </si>
  <si>
    <t>Zakupnine i najamnine</t>
  </si>
  <si>
    <t>Zdravstvene i veterinarske usluge</t>
  </si>
  <si>
    <t>3237</t>
  </si>
  <si>
    <t>Intelektualne i osobne usluge</t>
  </si>
  <si>
    <t>Na godišnjoj razini postoji kontrola koja povezuje neke AOP pozicije obrasca PR-RAS s nekim AOP pozicijama obrasca RAS-funkcijski. Ova kontrola vrijede za sve razine. Iznimno, u nekim slučajevima mogu se zanemariti za razine 12 i 23. Vrijednost AOP oznake 378 u obrascu PR-RAS treba biti jednaka zbroju AOP 001+018+024+031+071+078+085+103+110+125  tj. AOP-u 137 u obrascu RAS-funkcijski. Zbog zaokruživanja vrijednosti, dozvoljeno je odstupanje od 1 kn.</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</si>
  <si>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</si>
  <si>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</si>
  <si>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</si>
  <si>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</si>
  <si>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</si>
  <si>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</si>
  <si>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</si>
  <si>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Ako je iznos na AOP-u 502 veći od nule, a iznos na AOP-u 802 (dani zajmovi u osiguravajućim društvima u javnom sektoru - dugoročni) je jednak nuli, provjerite AOP 802. Ako je njegov iznos stvarno toliki, zanemarite ovu kontrolu.</t>
  </si>
  <si>
    <t>Ako je iznos na AOP-u 503 veći od nule, a iznos na AOP-u 803 (dani zajmovi ostalim financijskim institucijama u javnom sektoru - dugoročni) je jednak nuli, provjerite AOP 803. Ako je njegov iznos stvarno toliki, zanemarite ovu kontrolu.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</si>
  <si>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</si>
  <si>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</si>
  <si>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</si>
  <si>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</si>
  <si>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</si>
  <si>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</si>
  <si>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</si>
  <si>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</si>
  <si>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</si>
  <si>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</si>
  <si>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</si>
  <si>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</si>
  <si>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</si>
  <si>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</si>
  <si>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</si>
  <si>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</si>
  <si>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</si>
  <si>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</si>
  <si>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</si>
  <si>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</si>
  <si>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</si>
  <si>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</si>
  <si>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</si>
  <si>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</si>
  <si>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</si>
  <si>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</si>
  <si>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</si>
  <si>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</si>
  <si>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</si>
  <si>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</si>
  <si>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</si>
  <si>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</si>
  <si>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</si>
  <si>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</si>
  <si>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</si>
  <si>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</si>
  <si>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</si>
  <si>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</si>
  <si>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</si>
  <si>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</si>
  <si>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</si>
  <si>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</si>
  <si>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</si>
  <si>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</si>
  <si>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</si>
  <si>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</si>
  <si>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</si>
  <si>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</si>
  <si>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</si>
  <si>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</si>
  <si>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</si>
  <si>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</si>
  <si>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Stanje aktivnih jamstava 1.1.</t>
  </si>
  <si>
    <t>Protestirana jamstva u tekućoj godini</t>
  </si>
  <si>
    <t>Iznos naplaćen u tekućoj godini po protestiranim jamstvima</t>
  </si>
  <si>
    <t>Izdana jamstva u tekućoj godini</t>
  </si>
  <si>
    <t>Jamstva istekla u tekućoj godini</t>
  </si>
  <si>
    <t>Neproizvedena dugotrajna imovina (AOP 004+005-006)</t>
  </si>
  <si>
    <t>011</t>
  </si>
  <si>
    <t>Materijalna imovina - prirodna bogatstva</t>
  </si>
  <si>
    <t>012</t>
  </si>
  <si>
    <t>Ako je iznos na AOP-u 554 veći od nule, a iznos na AOP-u 827 (otplata glavnice primljenih zajmova od međunarodnih organizacija - dugoročnih) je jednak nuli, provjerite AOP 827. Ako je njegov iznos stvarno toliki, zanemarite ovu kontrolu.</t>
  </si>
  <si>
    <t>Ako je iznos na AOP-u 555 veći od nule, a iznos na AOP-u 828 (otplata glavnice primljenih kredita i zajmova od institucija i tijela EU - dugoročnih) je jednak nuli, provjerite AOP 828. Ako je njegov iznos stvarno toliki, zanemarite ovu kontrolu.</t>
  </si>
  <si>
    <t>Ako je iznos na AOP-u 560 veći od nule, a iznos na AOP-u 833 (otplata glavnice primljenih zajmova od osiguravajućih društava u javnom sektoru - dugoročnih) je jednak nuli, provjerite AOP 833. Ako je njegov iznos stvarno toliki, zanemarite ovu kontrolu.</t>
  </si>
  <si>
    <t>Ako je iznos na AOP-u 561 veći od nule, a iznos na AOP-u 834 (otplata glavnice primljenih zajmova od ostalih financijskih institucija u javnom sektoru - dugoročnih) je jednak nuli, provjerite AOP 834. Ako je njegov iznos stvarno toliki, zanemarite ovu kontrolu.</t>
  </si>
  <si>
    <t>Ako je iznos na AOP-u 566 veći od nule, a iznos na AOP-u 838 (otplata glavnice primljenih zajmova od tuzemnih osiguravajućih društava izvan javnog sektora - dugoročnih)je jednak nuli, provjerite AOP 838. Ako je njegov iznos stvarno toliki, zanemarite ovu kontrolu.</t>
  </si>
  <si>
    <t>Ako je iznos na AOP-u 567 veći od nule, a iznos na AOP-u 839 (otplata glavnice primljenih zajmova od ostalih tuzemnih fiancijskih institucija izvan javnog sektora - dugoročnih) je jednak nuli, provjerite AOP 839. Ako je njegov iznos stvarno toliki, zanemarite ovu kontrolu.</t>
  </si>
  <si>
    <t>Ako je iznos na AOP-u 569 veći od nule, a iznos na AOP-u 842 (otpalta glavnice primljenih zajmova od inozemnih osiguravajućih društava - dugoročnih) je jednak nuli, provjerite AOP 842. Ako je njegov iznos stvarno toliki, zanemarite ovu kontrolu.</t>
  </si>
  <si>
    <t>Ako je iznos na AOP-u 570 veći od nule, a iznos na AOP-u 843 (otplata glavnice primljenih zajmova od ostalih inozemnih financijskih institucija - dugoročnih) je jednak nuli, provjerite AOP 843. Ako je njegov iznos stvarno toliki, zanemarite ovu kontrolu.</t>
  </si>
  <si>
    <t>Ako je iznos na AOP-u 572 veći od nule, a iznos na AOP-u 844 (otplata glavnice primljenih zajmova od tuzemnih trgovačkih društava izvan javnog sektora - dugoročnih) je jednak nuli, provjerite AOP 844. Ako je njegov iznos stvarno toliki, zanemarite ovu kontrolu.</t>
  </si>
  <si>
    <t>Ako je iznos na AOP-u 573 veći od nule, a iznos na AOP-u 845 (otplata glavnice primljenih zajmova od tuzemnih obrtnika - dugoročnih) je jednak nuli, provjerite AOP 845. Ako je njegov iznos stvarno toliki, zanemarite ovu kontrolu.</t>
  </si>
  <si>
    <t>Ako je iznos na AOP-u 592 veći od nule, a iznos na AOP-u 861 izdaci za otplatu glavnice za izdane ostale vrijednosne papire u zemlji - dugoročne) je jednak nuli, provjerite AOP 861. Ako je njegov iznos stvarno toliki, zanemarite ovu kontrolu.</t>
  </si>
  <si>
    <t>AOP 829 je samo dio AOP-a 556 i mora biti manji ili jednak njemu u oba stupca podataka</t>
  </si>
  <si>
    <t>AOP 830 je samo dio AOP-a 557 i mora biti manji ili jednak njemu u oba stupca podataka</t>
  </si>
  <si>
    <t>AOP 833 je samo dio AOP-a 560 i mora biti manji ili jednak njemu u oba stupca podataka</t>
  </si>
  <si>
    <t>AOP 834 je samo dio AOP-a 561 i mora biti manji ili jednak njemu u oba stupca podataka</t>
  </si>
  <si>
    <t>AOP 835 je samo dio AOP-a 563 i mora biti manji ili jednak njemu u oba stupca podataka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</si>
  <si>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</si>
  <si>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</si>
  <si>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</si>
  <si>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</si>
  <si>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</si>
  <si>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</si>
  <si>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</si>
  <si>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</si>
  <si>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</si>
  <si>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</si>
  <si>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Otplata glavnice primljenih zajmova od inozemnih trgovačkih društava – dugoročnih</t>
  </si>
  <si>
    <t>Otplata glavnice primljenih zajmova od državnog proračuna – kratkoročnih</t>
  </si>
  <si>
    <t>Otplata glavnice primljenih zajmova od državnog proračuna – dugoročnih</t>
  </si>
  <si>
    <t>Ako je obrazac razine 21, 31, 41 ili 42 tada pod AOP oznakama 611 i 613 podatak mora biti jednak nula.</t>
  </si>
  <si>
    <t>Ako su u nekom stupcu na AOP-ima 611 do 614 (brojevi zaposlenih) podaci veći od nule, tada u toj istom stupcu  mora biti postojati podatak veći od nule i na AOP-u 133 (rashodi za zaposlene).</t>
  </si>
  <si>
    <t>Ako je u nekom stupcu na AOP-u 611 broj veći od nule, tada i na AOP-u  613 mora biti broj veći od nule i obrnuto.</t>
  </si>
  <si>
    <t>Ako je u nekom stupcu na AOP-u 612 broj veći od nule, tada i na AOP-u  614 mora biti broj veći od nule i obrnuto.</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</si>
  <si>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</si>
  <si>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</si>
  <si>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</si>
  <si>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</si>
  <si>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</si>
  <si>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</si>
  <si>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</si>
  <si>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</si>
  <si>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</si>
  <si>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</si>
  <si>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</si>
  <si>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</si>
  <si>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</si>
  <si>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</si>
  <si>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</si>
  <si>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</si>
  <si>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</si>
  <si>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</si>
  <si>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</si>
  <si>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</si>
  <si>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</si>
  <si>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</si>
  <si>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</si>
  <si>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</si>
  <si>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</si>
  <si>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</si>
  <si>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</si>
  <si>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</si>
  <si>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</si>
  <si>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</si>
  <si>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</si>
  <si>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</si>
  <si>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</si>
  <si>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</si>
  <si>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</si>
  <si>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</si>
  <si>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</si>
  <si>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</si>
  <si>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</si>
  <si>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</si>
  <si>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</si>
  <si>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</si>
  <si>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</si>
  <si>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</si>
  <si>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</si>
  <si>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</si>
  <si>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</si>
  <si>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</si>
  <si>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</si>
  <si>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</si>
  <si>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</si>
  <si>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</si>
  <si>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</si>
  <si>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</si>
  <si>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</si>
  <si>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</si>
  <si>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</si>
  <si>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</si>
  <si>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</si>
  <si>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</si>
  <si>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</si>
  <si>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</si>
  <si>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</si>
  <si>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</si>
  <si>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</si>
  <si>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</si>
  <si>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</si>
  <si>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</si>
  <si>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</si>
  <si>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</si>
  <si>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</si>
  <si>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</si>
  <si>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</si>
  <si>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</si>
  <si>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</si>
  <si>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</si>
  <si>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</si>
  <si>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</si>
  <si>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</si>
  <si>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</si>
  <si>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</si>
  <si>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</si>
  <si>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</si>
  <si>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</si>
  <si>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</si>
  <si>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</si>
  <si>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</si>
  <si>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</si>
  <si>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</si>
  <si>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</si>
  <si>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</si>
  <si>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</si>
  <si>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</si>
  <si>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</si>
  <si>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</si>
  <si>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</si>
  <si>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</si>
  <si>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</si>
  <si>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</si>
  <si>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</si>
  <si>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</si>
  <si>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</si>
  <si>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</si>
  <si>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</si>
  <si>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</si>
  <si>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</si>
  <si>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</si>
  <si>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</si>
  <si>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</si>
  <si>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</si>
  <si>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Financijska imovina (AOP 062+067+073+104+120+132+142+143)</t>
  </si>
  <si>
    <t>Depoziti u kreditnim i ostalim financijskim institucijama</t>
  </si>
  <si>
    <t>Potraživanja za dane zajmove (AOP 074+092-103)</t>
  </si>
  <si>
    <t>Zajmovi - tuzemni (AOP 075 do 091)</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</si>
  <si>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</si>
  <si>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</si>
  <si>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</si>
  <si>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</si>
  <si>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</si>
  <si>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</si>
  <si>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</si>
  <si>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</si>
  <si>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</si>
  <si>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</si>
  <si>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</si>
  <si>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</si>
  <si>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</si>
  <si>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</si>
  <si>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</si>
  <si>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</si>
  <si>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</si>
  <si>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</si>
  <si>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</si>
  <si>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</si>
  <si>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</si>
  <si>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</si>
  <si>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</si>
  <si>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</si>
  <si>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</si>
  <si>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</si>
  <si>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</si>
  <si>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I VLASTITI IZVORI (AOP 147+205)</t>
  </si>
  <si>
    <t xml:space="preserve">Obveze (AOP 148+157+158+174+202) </t>
  </si>
  <si>
    <t>Obveze za rashode poslovanja (AOP 149 do 156)</t>
  </si>
  <si>
    <t>236</t>
  </si>
  <si>
    <t>Obveze temeljem sredstava pomoći EU</t>
  </si>
  <si>
    <t>Obveze za kazne, naknade šteta i kapitalne pomoći</t>
  </si>
  <si>
    <t>Obveze za vrijednosne papire (AOP 159+166-173)</t>
  </si>
  <si>
    <t>Obveze za vrijednosne papire - tuzemne (AOP 160 do 165)</t>
  </si>
  <si>
    <t>Obveze za vrijednosne papire - inozemne (AOP 167 do 172)</t>
  </si>
  <si>
    <t>Obveze za kredite i zajmove (AOP 175+192)</t>
  </si>
  <si>
    <t>Obveze za kredite i zajmove - tuzemne (AOP 176 do 191)</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</si>
  <si>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</si>
  <si>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</si>
  <si>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</si>
  <si>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</si>
  <si>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</si>
  <si>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</si>
  <si>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</si>
  <si>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</si>
  <si>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</si>
  <si>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</si>
  <si>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</si>
  <si>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</si>
  <si>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</si>
  <si>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</si>
  <si>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</si>
  <si>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</si>
  <si>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</si>
  <si>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</si>
  <si>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</si>
  <si>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</si>
  <si>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</si>
  <si>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</si>
  <si>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</si>
  <si>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</si>
  <si>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</si>
  <si>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</si>
  <si>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</si>
  <si>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</si>
  <si>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Proizvodnja pripremljene hrane za kućne ljubimce</t>
  </si>
  <si>
    <t>IZVJEŠTAJ O PROMJENAMA U VRIJEDNOSTI
I OBUJMU IMOVINE I OBVEZA</t>
  </si>
  <si>
    <t>IZVJEŠTAJ O PRIHODIMA I RASHODIMA KORISNIKA PRORAČUNA</t>
  </si>
  <si>
    <t>Proizvodnja motora i turbina, osim motora za zrakoplove i motorna vozila</t>
  </si>
  <si>
    <t>Proizvodnja hidrauličnih pogonskih uređaja</t>
  </si>
  <si>
    <t>Proizvodnja ostalih crpki i kompresora</t>
  </si>
  <si>
    <t>Povećanje obveza u izvještajnom razdoblju (AOP 003+004+012+013)</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</si>
  <si>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</si>
  <si>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</si>
  <si>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</si>
  <si>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</si>
  <si>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</si>
  <si>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</si>
  <si>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</si>
  <si>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</si>
  <si>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</si>
  <si>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</si>
  <si>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</si>
  <si>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</si>
  <si>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</si>
  <si>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</si>
  <si>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</si>
  <si>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</si>
  <si>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</si>
  <si>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</si>
  <si>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</si>
  <si>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</si>
  <si>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</si>
  <si>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</si>
  <si>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</si>
  <si>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</si>
  <si>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</si>
  <si>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</si>
  <si>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</si>
  <si>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</si>
  <si>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</si>
  <si>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</si>
  <si>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</si>
  <si>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</si>
  <si>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</si>
  <si>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</si>
  <si>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</si>
  <si>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</si>
  <si>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</si>
  <si>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AOP 115 mora biti jednak zbroju AOP-a: 317 do 320. Dopušteno je odstupanje od 1kn zbog zaokruživanja</t>
  </si>
  <si>
    <t>AOP 116 mora biti jednak zbroju AOP-a: 321 do 324. Dopušteno je odstupanje od 1kn zbog zaokruživanja</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</si>
  <si>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</si>
  <si>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</si>
  <si>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</si>
  <si>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</si>
  <si>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</si>
  <si>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</si>
  <si>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</si>
  <si>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</si>
  <si>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</si>
  <si>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</si>
  <si>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</si>
  <si>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</si>
  <si>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</si>
  <si>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</si>
  <si>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</si>
  <si>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</si>
  <si>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</si>
  <si>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Postrojenja i oprema (AOP 015 do 021 - 022)</t>
  </si>
  <si>
    <t>Prijevozna sredstva (AOP 024 do 027 - 028)</t>
  </si>
  <si>
    <t>Trgovina na malo audio i videoopremom u specijaliziranim prodavaonicama</t>
  </si>
  <si>
    <t>Višegodišnji nasadi i osnovno stado (AOP 036+037-038)</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</si>
  <si>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</si>
  <si>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</si>
  <si>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</si>
  <si>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</si>
  <si>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</si>
  <si>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</si>
  <si>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</si>
  <si>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64</t>
  </si>
  <si>
    <t>2.0.4.</t>
  </si>
  <si>
    <t>Pogrebne i srodne djelatnosti</t>
  </si>
  <si>
    <t>Subvencije trgovačkim društvima u javnom sektoru</t>
  </si>
  <si>
    <t>Subvencije trgovačkim društvima izvan javnog sektora</t>
  </si>
  <si>
    <t>36</t>
  </si>
  <si>
    <t>Tekuće pomoći inozemnim vladama</t>
  </si>
  <si>
    <t>Kapitalne pomoći inozemnim vladama</t>
  </si>
  <si>
    <t>37</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</si>
  <si>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</si>
  <si>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</si>
  <si>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</si>
  <si>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</si>
  <si>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</si>
  <si>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</si>
  <si>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</si>
  <si>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</si>
  <si>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</si>
  <si>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</si>
  <si>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Na godišnjoj razini postoji kontrola koja povezuje neke AOP pozicije obrasca PR-RAS i obrasca Bil. Kontrola upozorava ako ova kontrola nije zadovoljena za razine 12, 13 i 23. Ako je kontrola javila upozorenje provjerite da li je sigurno da ne mora biti zadovoljena. Vrijednost AOP oznake 144 u obrascu Bilanca mora biti jednaka vrijednosti AOP oznake 606 u obrascu PR-RAS. Zbog zaokruživanja vrijednosti, dozvoljeno je odstupanje od 1 kn.</t>
  </si>
  <si>
    <t>Na godišnjoj razini postoji kontrola koja povezuje neke AOP pozicije obrasca PR-RAS i obrasca Bil. Ova kontrola vrijede za sve razine. Kontrola je obvezujuća za razine 11, 21, 22, 31, 42. Vrijednost AOP oznake 062 u obrascu Bilanca mora biti jednaka vrijednosti AOP oznake 610 u obrascu PR-RAS. Zbog zaokruživanja vrijednosti, dozvoljeno je odstupanje od 1 kn.</t>
  </si>
  <si>
    <t>DARDA</t>
  </si>
  <si>
    <t>DARUVAR</t>
  </si>
  <si>
    <t>DAVOR</t>
  </si>
  <si>
    <t>DELNICE</t>
  </si>
  <si>
    <t>DESINIĆ</t>
  </si>
  <si>
    <t>DEŽANOVAC</t>
  </si>
  <si>
    <t>DICMO</t>
  </si>
  <si>
    <t>DOBRINJ</t>
  </si>
  <si>
    <t>DOMAŠINEC</t>
  </si>
  <si>
    <t>BRELA</t>
  </si>
  <si>
    <t>DONJA DUBRAVA</t>
  </si>
  <si>
    <t>DONJA STUBICA</t>
  </si>
  <si>
    <t>DONJA VOĆA</t>
  </si>
  <si>
    <t>DONJI ANDRIJEVCI</t>
  </si>
  <si>
    <t>UKUPNI PRIHODI (AOP 001+020)</t>
  </si>
  <si>
    <t>UKUPNI RASHODI (AOP 008-018+021 ili AOP 008+019+021)</t>
  </si>
  <si>
    <t>6311</t>
  </si>
  <si>
    <t>6312</t>
  </si>
  <si>
    <t>6321</t>
  </si>
  <si>
    <t>6322</t>
  </si>
  <si>
    <t>6323</t>
  </si>
  <si>
    <t>6324</t>
  </si>
  <si>
    <t>Prihodi od prodaje proizvode i robe te pruženih usluga</t>
  </si>
  <si>
    <t>6631</t>
  </si>
  <si>
    <t>6632</t>
  </si>
  <si>
    <t>671</t>
  </si>
  <si>
    <t>Dionice i udjeli u glavnici trgovačkih društava u javnom sektoru</t>
  </si>
  <si>
    <t>OSNOVNE UPUTE ZA UNOS PODATAKA</t>
  </si>
  <si>
    <t>KONTRBR</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</si>
  <si>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</si>
  <si>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</si>
  <si>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</si>
  <si>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</si>
  <si>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</si>
  <si>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</si>
  <si>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</si>
  <si>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</si>
  <si>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</si>
  <si>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</si>
  <si>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</si>
  <si>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</si>
  <si>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</si>
  <si>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</si>
  <si>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</si>
  <si>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</si>
  <si>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</si>
  <si>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</si>
  <si>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</si>
  <si>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</si>
  <si>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</si>
  <si>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</si>
  <si>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</si>
  <si>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</si>
  <si>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</si>
  <si>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</si>
  <si>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</si>
  <si>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</si>
  <si>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</si>
  <si>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</si>
  <si>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</si>
  <si>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</si>
  <si>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</si>
  <si>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</si>
  <si>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</si>
  <si>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t>PRIHODI OD PRODAJE NEFINANCIJSKE IMOVINE</t>
  </si>
  <si>
    <t xml:space="preserve">Rashodi za nabavu proizvedene dugotrajne imovine </t>
  </si>
  <si>
    <t xml:space="preserve">Rashodi za nabavu plemenitih metala i ostalih pohranjenih vrijednosti </t>
  </si>
  <si>
    <t xml:space="preserve">Rashodi za nabavu proizvedene kratkotrajne imovine </t>
  </si>
  <si>
    <t>Prosječan broj zaposlenih kod korisnika na osnovi stanja krajem izvještajnog razdoblja (cijeli broj)</t>
  </si>
  <si>
    <t xml:space="preserve">Ostali rashodi za zaposlene </t>
  </si>
  <si>
    <t xml:space="preserve">Doprinosi na plaće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</si>
  <si>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</si>
  <si>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</si>
  <si>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</si>
  <si>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</si>
  <si>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</si>
  <si>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</si>
  <si>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</si>
  <si>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</si>
  <si>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</si>
  <si>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</si>
  <si>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</si>
  <si>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</si>
  <si>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</si>
  <si>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</si>
  <si>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t>Primci za ostale vrijednosne papire (AOP 488+489)</t>
  </si>
  <si>
    <t>Ostali tuzemni vrijednosni papiri</t>
  </si>
  <si>
    <t>Izdaci za financijsku imovinu i otplate zajmova (AOP 491+526+539+552+584)</t>
  </si>
  <si>
    <t>Izdaci za dane zajmove (AOP 492+497+500+504+506+513+518)</t>
  </si>
  <si>
    <t>Izdaci za dane zajmove međunarodnim organizacijama, institucijama i tijelima EU te inozemnim vladama (AOP 493 do 496)</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</si>
  <si>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</si>
  <si>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</si>
  <si>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</si>
  <si>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</si>
  <si>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</si>
  <si>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Vrijednosti svih AOP oznaka moraju biti zaokružene, cjelobrojne vrijednosti, ako neka vrijednost nije zaokružena, već upisana s decimalama, kontrola nije zadovoljena, takav obrazac je neispravan.</t>
  </si>
  <si>
    <t>Obrazac ne smije sadržavati niti jednu negativnu vrijednost, ako je neka vrijednost negatvina, kontrola nije zadovoljena i obrazac je neispravan.</t>
  </si>
  <si>
    <t>Obrazac</t>
  </si>
  <si>
    <t>Promjene</t>
  </si>
  <si>
    <t>Iznos povećanja</t>
  </si>
  <si>
    <t>Iznos smanjenja</t>
  </si>
  <si>
    <t>9151</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</si>
  <si>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t>
    </r>
  </si>
  <si>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</si>
  <si>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</si>
  <si>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</si>
  <si>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</si>
  <si>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</si>
  <si>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</si>
  <si>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</si>
  <si>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</si>
  <si>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</si>
  <si>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</si>
  <si>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</si>
  <si>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</si>
  <si>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</si>
  <si>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</si>
  <si>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</si>
  <si>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</si>
  <si>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</si>
  <si>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r>
      <t xml:space="preserve">Razina 22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predaje obrasce PR-RAS i NT i Obveze
- za </t>
    </r>
    <r>
      <rPr>
        <b/>
        <sz val="8"/>
        <rFont val="Arial"/>
        <family val="2"/>
        <charset val="238"/>
      </rPr>
      <t>polugodište</t>
    </r>
    <r>
      <rPr>
        <sz val="8"/>
        <rFont val="Arial"/>
        <family val="2"/>
        <charset val="238"/>
      </rPr>
      <t xml:space="preserve"> predaje obrasce PR-RAS i NT i Obveze
- na </t>
    </r>
    <r>
      <rPr>
        <b/>
        <sz val="8"/>
        <rFont val="Arial"/>
        <family val="2"/>
        <charset val="238"/>
      </rPr>
      <t>godišnjoj</t>
    </r>
    <r>
      <rPr>
        <sz val="8"/>
        <rFont val="Arial"/>
        <family val="2"/>
        <charset val="238"/>
      </rPr>
      <t xml:space="preserve"> razini predaje obrasce: PR-RAS, BIL, NT, RAS-funkcijski, P-VRIO i Obveze. 
Zavisno od odabranog razdoblja, ako je popunjen obrazac koji ne treba biti popunjen, ili nije popunjen obrazac koji treba biti popunjen, ova kontrola javlja pogrešku.</t>
    </r>
  </si>
  <si>
    <t>Primici od upravnih i administrativnih pristojbi, pristojbi po posebnim propisima i naknada</t>
  </si>
  <si>
    <t>Primici od prodaje proizvoda i robe te pruženih usluga i primici od donacija</t>
  </si>
  <si>
    <t>Primici iz proračuna</t>
  </si>
  <si>
    <t>Kazne, upravne mjere i ostali primici</t>
  </si>
  <si>
    <t>Primici od financijske imovine i zaduživanja (AOP 197 do 201)</t>
  </si>
  <si>
    <t>Primici od izdanih vrijednosnih papira</t>
  </si>
  <si>
    <t>Primici od prodaje vrijednosnih papira iz portfelja</t>
  </si>
  <si>
    <t xml:space="preserve">Izdaci za financijsku imovinu i otplate zajmova (AOP 203 do 207) </t>
  </si>
  <si>
    <t>Izdaci za ulaganja u vrijednosne papire</t>
  </si>
  <si>
    <t>Izdaci za otplatu glavnice primljenih kredita i zajmova</t>
  </si>
  <si>
    <t>Ostali primici (AOP 209 do 216)</t>
  </si>
  <si>
    <t>Ostali izdaci (AOP 218 do 223)</t>
  </si>
  <si>
    <t>Neto primici iz transakcija na financijskoj imovini i obvezama (AOP 196+208-202-217)</t>
  </si>
  <si>
    <t>Neto izdaci iz transakcija na financijskoj imovini i obvezama (AOP 202+217-196-208)</t>
  </si>
  <si>
    <t xml:space="preserve">UKUPNI NETO PRIMICI (AOP 118+194+224-119-195-225) </t>
  </si>
  <si>
    <t xml:space="preserve">UKUPNI NETO IZDACI (AOP 119+195+225-118-194-224) </t>
  </si>
  <si>
    <t>POVEĆANJE NOVČANIH SREDSTAVA (AOP 229-228)</t>
  </si>
  <si>
    <t>SMANJENJE NOVČANIH SREDSTAVA (AOP 228-229)</t>
  </si>
  <si>
    <t>61191</t>
  </si>
  <si>
    <t>63111</t>
  </si>
  <si>
    <t>Tekuće pomoći od inozemnih vlada u EU</t>
  </si>
  <si>
    <t>63112</t>
  </si>
  <si>
    <t>Tekuće pomoći od inozemnih vlada izvan EU</t>
  </si>
  <si>
    <t>63121</t>
  </si>
  <si>
    <t>Kapitalne pomoći od inozemnih vlada u EU</t>
  </si>
  <si>
    <t>63122</t>
  </si>
  <si>
    <t>Kapitalne pomoći od inozemnih vlada izvan EU</t>
  </si>
  <si>
    <t>63211</t>
  </si>
  <si>
    <t>63221</t>
  </si>
  <si>
    <t xml:space="preserve">Kapitalne pomoći od međunarodnih organizacija </t>
  </si>
  <si>
    <t>63231</t>
  </si>
  <si>
    <t>63241</t>
  </si>
  <si>
    <t>63311</t>
  </si>
  <si>
    <t>63312</t>
  </si>
  <si>
    <t>63313</t>
  </si>
  <si>
    <t>63314</t>
  </si>
  <si>
    <t>63321</t>
  </si>
  <si>
    <t>63322</t>
  </si>
  <si>
    <t>63323</t>
  </si>
  <si>
    <t>63324</t>
  </si>
  <si>
    <t>63331</t>
  </si>
  <si>
    <t>63332</t>
  </si>
  <si>
    <t>63341</t>
  </si>
  <si>
    <t>63342</t>
  </si>
  <si>
    <t>63414</t>
  </si>
  <si>
    <t>Tekuće pomoći od HZMO-a, HZZ-a i HZZO-a</t>
  </si>
  <si>
    <t>63415</t>
  </si>
  <si>
    <t>63416</t>
  </si>
  <si>
    <t>63424</t>
  </si>
  <si>
    <t>Kapitalne pomoći od HZMO-a, HZZ-a i HZZO-a</t>
  </si>
  <si>
    <t>63425</t>
  </si>
  <si>
    <t>63426</t>
  </si>
  <si>
    <t>63511</t>
  </si>
  <si>
    <t>63521</t>
  </si>
  <si>
    <t>64371</t>
  </si>
  <si>
    <t>64372</t>
  </si>
  <si>
    <t>64373</t>
  </si>
  <si>
    <t>64374</t>
  </si>
  <si>
    <t>64375</t>
  </si>
  <si>
    <t>64376</t>
  </si>
  <si>
    <t>64377</t>
  </si>
  <si>
    <t>Kontrolni zbroj (AOP 232 do 267)</t>
  </si>
  <si>
    <t>Subvencije poljoprivredinicima</t>
  </si>
  <si>
    <t>36313</t>
  </si>
  <si>
    <t>36314</t>
  </si>
  <si>
    <t>36315</t>
  </si>
  <si>
    <t>36316</t>
  </si>
  <si>
    <t>36317</t>
  </si>
  <si>
    <t>36318</t>
  </si>
  <si>
    <t>36319</t>
  </si>
  <si>
    <t>36323</t>
  </si>
  <si>
    <t>36324</t>
  </si>
  <si>
    <t>36325</t>
  </si>
  <si>
    <t>36326</t>
  </si>
  <si>
    <t>36327</t>
  </si>
  <si>
    <t>36328</t>
  </si>
  <si>
    <t>36329</t>
  </si>
  <si>
    <t>36331</t>
  </si>
  <si>
    <r>
      <t xml:space="preserve">Tekuće pomoći proračunskim korisnicima državnog </t>
    </r>
    <r>
      <rPr>
        <sz val="9"/>
        <color indexed="8"/>
        <rFont val="Arial"/>
        <family val="2"/>
        <charset val="238"/>
      </rPr>
      <t>proračuna temeljem prijenosa sredstava EU</t>
    </r>
  </si>
  <si>
    <t>36332</t>
  </si>
  <si>
    <t>Tekuće pomoći proračunskim korisnicima županijskih, gradskih i općinskih proračuna temeljem prijenosa sredstava EU</t>
  </si>
  <si>
    <t>36341</t>
  </si>
  <si>
    <t>36342</t>
  </si>
  <si>
    <t>Kapitalne pomoći proračunskim korisnicima županijskih, gradskih i općinskih proračuna temeljem prijenosa sredstava EU</t>
  </si>
  <si>
    <t>38613</t>
  </si>
  <si>
    <t>38614</t>
  </si>
  <si>
    <t>38615</t>
  </si>
  <si>
    <t>Tekuće pomoći od proračunskih korisnika županijskih, gradskih i općinskih proračuna temeljem prijenosa sredstava EU</t>
  </si>
  <si>
    <t>Kapitalne pomoći od proračunskih korisnika državnog proračuna temeljem prijenosa sredstava EU</t>
  </si>
  <si>
    <t>Kapitalne pomoći od proračunskih korisnika županijskih, gradskih i općinskih proračuna temeljem prijenosa sredstava EU</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</si>
  <si>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</si>
  <si>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</si>
  <si>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</si>
  <si>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</si>
  <si>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</si>
  <si>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</si>
  <si>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</si>
  <si>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</si>
  <si>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</si>
  <si>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</si>
  <si>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</si>
  <si>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</si>
  <si>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</si>
  <si>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</si>
  <si>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</si>
  <si>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3.0.3.</t>
  </si>
  <si>
    <t>DRŽAVNI URED ZA UPRAVLJANJE DRŽAVNOM IMOVINOM</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</si>
  <si>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</si>
  <si>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</si>
  <si>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</si>
  <si>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Ako je iznos na AOP-u 403 veći od nule, a iznos na AOP-u 746 (povrat zajmova danih ostalim tuzemnim financijskim institucijama izvan javnog sektora - dugoročni) je jednak nuli, provjerite AOP 746 . Ako je njegov iznos stvarno toliki, zanemarite ovu kontrolu.</t>
  </si>
  <si>
    <t>Ako je iznos na AOP-u 431 veći od nule, a iznos na AOP-u 765 (ostali vrijednosni papiri - dugoročni) je jednak nuli, provjerite AOP 765. Ako je njegov iznos stvarno toliki, zanemarite ovu kontrolu.</t>
  </si>
  <si>
    <t>Ako je iznos na AOP-u 448 veći od nule, a iznos na AOP-u 766 (primljeni zajmovi od međunarodnih organizacija - dugoročni) je jednak nuli, provjerite AOP 766. Ako je njegov iznos stvarno toliki, zanemarite ovu kontrolu.</t>
  </si>
  <si>
    <t>Ako je iznos na AOP-u 449 veći od nule, a iznos na AOP-u 767 (primljeni krediti i zajmovi od institucija i tijela EU - dugoročni) je jednak nuli, provjerite AOP 767. Ako je njegov iznos stvarno toliki, zanemarite ovu kontrolu.</t>
  </si>
  <si>
    <t>Ako je iznos na AOP-u 450 veći od nule, a iznos na AOP-u 768 (primljeni zajmovi od inozemnih vlada u EU - dugoročni) je jednak nuli, provjerite AOP 768. Ako je njegov iznos stvarno toliki, zanemarite ovu kontrolu.</t>
  </si>
  <si>
    <t>Ako je iznos na AOP-u 451 veći od nule, a iznos na AOP-u 769 (primljeni zajmovi od inozemnih vlada izvan EU - dugoročni) je jednak nuli, provjerite AOP 769. Ako je njegov iznos stvarno toliki, zanemarite ovu kontrolu.</t>
  </si>
  <si>
    <t>Ako je iznos na AOP-u 454 veći od nule, a iznos na AOP-u 772 (primljeni zajmovi od osiguravajućih društava u javnom sektoru - dugoročni) je jednak nuli, provjerite AOP 772. Ako je njegov iznos stvarno toliki, zanemarite ovu kontrolu.</t>
  </si>
  <si>
    <t>Ako je iznos na AOP-u 455 veći od nule, a iznos na AOP-u 773 (primljeni zajmovi od ostalih financijskih institucija u javnom sektoru) jednak nuli, provjerite AOP 773 Ako je njegov iznos stvarno toliki, zanemarite ovu kontrolu.</t>
  </si>
  <si>
    <t>Ako je iznos na AOP-u 457 veći od nule, a iznos na AOP-u 774 (primljeni zajmovi od trgovačkih društava u javnom sektoru - dugoročni) je jednak nuli, provjerite AOP 774. Ako je njegov iznos stvarno toliki, zanemarite ovu kontrolu.</t>
  </si>
  <si>
    <t>za razdoblje 1. do 31. siječnja 2013. godine</t>
  </si>
  <si>
    <t>2013-02</t>
  </si>
  <si>
    <t>2013-03</t>
  </si>
  <si>
    <t>za razdoblje 1. do 31. ožujka 2013. godine</t>
  </si>
  <si>
    <t>za razdoblje 1. siječnja do 31. ožujka 2013. godine</t>
  </si>
  <si>
    <t>2013-04</t>
  </si>
  <si>
    <t>za razdoblje 1. do 30. travnja 2013. godine</t>
  </si>
  <si>
    <t>2013-05</t>
  </si>
  <si>
    <t>za razdoblje 1. do 31. svibnja 2013. godine</t>
  </si>
  <si>
    <t>2013-06</t>
  </si>
  <si>
    <t>za razdoblje 1. do 30. lipnja 2013. godine</t>
  </si>
  <si>
    <t>za razdoblje 1. travnja do 30. lipnja 2013. godine</t>
  </si>
  <si>
    <t>za razdoblje 1. siječnja  do 30. lipnja 2013. godine</t>
  </si>
  <si>
    <t>2013-07</t>
  </si>
  <si>
    <t>za razdoblje 1. do 31. srpnja 2013. godine</t>
  </si>
  <si>
    <t>2013-08</t>
  </si>
  <si>
    <t>za razdoblje 1. do 31. kolovoza 2013. godine</t>
  </si>
  <si>
    <t>2013-09</t>
  </si>
  <si>
    <t>za razdoblje 1. do 30. rujna 2013. godine</t>
  </si>
  <si>
    <t>za razdoblje 1. srpnja do 30. rujna 2013. godine</t>
  </si>
  <si>
    <t>za razdoblje 1. siječnja do 30. rujna 2013. godine</t>
  </si>
  <si>
    <t>2013-10</t>
  </si>
  <si>
    <t>za razdoblje 1. do 31. listopada 2013. godine</t>
  </si>
  <si>
    <t>2013-11</t>
  </si>
  <si>
    <t>za razdoblje 1. do 30. studenoga 2013. godine</t>
  </si>
  <si>
    <t>2013-12</t>
  </si>
  <si>
    <t>za razdoblje 1. do 31. prosinca 2013. godine</t>
  </si>
  <si>
    <t>za razdoblje 1. listopada do 31. prosinca 2013. godine</t>
  </si>
  <si>
    <t>za razdoblje 1. siječnja do 31. prosinca 2013. godine</t>
  </si>
  <si>
    <t>stanje na dan 31. prosinca 2013. godine</t>
  </si>
  <si>
    <t>za razdoblje 1. do 28. veljače 2013. godine</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</si>
  <si>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</si>
  <si>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</si>
  <si>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</si>
  <si>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</si>
  <si>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</si>
  <si>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</si>
  <si>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DRŽAVNI INSPEKTORAT</t>
  </si>
  <si>
    <t>KOMISIJA ZA ODNOSE S VJERSKIM ZAJEDNICAMA</t>
  </si>
  <si>
    <t>Razdjel</t>
  </si>
  <si>
    <t>63</t>
  </si>
  <si>
    <t>Prosječan broj zaposlenih kod korisnika na osnovi sati rada (cijeli broj)</t>
  </si>
  <si>
    <t>Porez na korištenje javnih površina</t>
  </si>
  <si>
    <t xml:space="preserve">PRIHODI POSLOVANJA (AOP 002+039+047+067+090+107+114+119) </t>
  </si>
  <si>
    <t>Prihodi od poreza (AOP 003+012+018+024+032+035)</t>
  </si>
  <si>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</si>
  <si>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</si>
  <si>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</si>
  <si>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</si>
  <si>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</si>
  <si>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</si>
  <si>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</si>
  <si>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</si>
  <si>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</si>
  <si>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</si>
  <si>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</si>
  <si>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</si>
  <si>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</si>
  <si>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Ako je iznos na AOP-u 501 veći od nule, a iznos na AOP-u 801 (dani zajmovi kreditnim institucijama u javnom sektoru - dugoročni) je jednak nuli, provjerite AOP 801. Ako je njegov iznos stvarno toliki, zanemarite ovu kontrolu.</t>
  </si>
  <si>
    <t>Proizvodnja industrijskih plinova</t>
  </si>
  <si>
    <t>Proizvodnja koloranata i pigmenata</t>
  </si>
  <si>
    <t>Proizvodnja madraca</t>
  </si>
  <si>
    <t>Proizvodnja novca</t>
  </si>
  <si>
    <t>Ostali inozemni vrijednosni papiri</t>
  </si>
  <si>
    <t>PR-RAS (VP 151)</t>
  </si>
  <si>
    <t>NT (VP 153)</t>
  </si>
  <si>
    <t>RAS funkcijski (VP 154)</t>
  </si>
  <si>
    <t>Pošta i mjesto:</t>
  </si>
  <si>
    <t>Kontrole NT</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</si>
  <si>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</si>
  <si>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</si>
  <si>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</si>
  <si>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</si>
  <si>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</si>
  <si>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</si>
  <si>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</si>
  <si>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</si>
  <si>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</si>
  <si>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</si>
  <si>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</si>
  <si>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</si>
  <si>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</si>
  <si>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</si>
  <si>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</si>
  <si>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</si>
  <si>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</si>
  <si>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Otplata glavnice primljenih zajmova od HZMO-a, HZZ-a i HZZO-a - kratkoročnih</t>
  </si>
  <si>
    <t>54752</t>
  </si>
  <si>
    <t>Otplata glavnice primljenih zajmova od HZMO-a, HZZ-a i HZZO-a - dugoročnih</t>
  </si>
  <si>
    <t>54761</t>
  </si>
  <si>
    <t>Naknade građanima i kućanstvima na temelju osiguranja i druge naknade (AOP 218+221)</t>
  </si>
  <si>
    <t>Naknade građanima i kućanstvima na temelju osiguranja (AOP 219 +220)</t>
  </si>
  <si>
    <t xml:space="preserve">Ostale naknade građanima i kućanstvima iz proračuna (AOP 222+223) </t>
  </si>
  <si>
    <t>Ostali rashodi (AOP 225+228+231+236)</t>
  </si>
  <si>
    <t>Primici od prodaje plemenitih metala i ostalih pohranjenih vrijednosti</t>
  </si>
  <si>
    <t>Primici od prodaje proizvedene kratkotrajne imovine</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</si>
  <si>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</si>
  <si>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</si>
  <si>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</si>
  <si>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</si>
  <si>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</si>
  <si>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</si>
  <si>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</si>
  <si>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NT - obvezne kontrole</t>
  </si>
  <si>
    <t>S-PR-RAS - obvezne kontrole</t>
  </si>
  <si>
    <t>S-PR-RAS - kontrole upozorenja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</si>
  <si>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</si>
  <si>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</si>
  <si>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</si>
  <si>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</si>
  <si>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</si>
  <si>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</si>
  <si>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</si>
  <si>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</si>
  <si>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</si>
  <si>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</si>
  <si>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</si>
  <si>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</si>
  <si>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</si>
  <si>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</si>
  <si>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</si>
  <si>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</si>
  <si>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</si>
  <si>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</si>
  <si>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</si>
  <si>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</si>
  <si>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 xml:space="preserve">Tekuće donacije (AOP 226+227) </t>
  </si>
  <si>
    <t xml:space="preserve">Kapitalne donacije (AOP 229+230) </t>
  </si>
  <si>
    <t>Kazne, penali i naknade štete (AOP 232 do 235)</t>
  </si>
  <si>
    <t>Naknade šteta pravnim i fizičkim osobama</t>
  </si>
  <si>
    <t xml:space="preserve">Naknade šteta zaposlenicima </t>
  </si>
  <si>
    <t>Ugovorene kazne i ostale naknade šteta</t>
  </si>
  <si>
    <t>Kapitalne pomoći (AOP 237 do 239)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</si>
  <si>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</si>
  <si>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</si>
  <si>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</si>
  <si>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Povećanje zaliha proizvodnje i gotovih proizvoda (AOP 241-240)</t>
  </si>
  <si>
    <t xml:space="preserve">Smanjenje zaliha proizvodnje i gotovih proizvoda (AOP 240-241) </t>
  </si>
  <si>
    <t>Ukupni rashodi poslovanja (AOP 132-242 ili 132+243)</t>
  </si>
  <si>
    <t xml:space="preserve">VIŠAK PRIHODA POSLOVANJA (AOP 001-244) </t>
  </si>
  <si>
    <t>MANJAK PRIHODA POSLOVANJA (AOP 244-001)</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</si>
  <si>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</si>
  <si>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</si>
  <si>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</si>
  <si>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</si>
  <si>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</si>
  <si>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</si>
  <si>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</si>
  <si>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</si>
  <si>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</si>
  <si>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</si>
  <si>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</si>
  <si>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</si>
  <si>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</si>
  <si>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</si>
  <si>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</si>
  <si>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</si>
  <si>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</si>
  <si>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</si>
  <si>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</si>
  <si>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</si>
  <si>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</si>
  <si>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</si>
  <si>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</si>
  <si>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</si>
  <si>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</si>
  <si>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</si>
  <si>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</si>
  <si>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</si>
  <si>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</si>
  <si>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</si>
  <si>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</si>
  <si>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</si>
  <si>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</si>
  <si>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</si>
  <si>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</si>
  <si>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</si>
  <si>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</si>
  <si>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</si>
  <si>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</si>
  <si>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</si>
  <si>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</si>
  <si>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</si>
  <si>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</si>
  <si>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</si>
  <si>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</si>
  <si>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</si>
  <si>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</si>
  <si>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</si>
  <si>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</si>
  <si>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</si>
  <si>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</si>
  <si>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</si>
  <si>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</si>
  <si>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</si>
  <si>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</si>
  <si>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</si>
  <si>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</si>
  <si>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</si>
  <si>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</si>
  <si>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</si>
  <si>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</si>
  <si>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</si>
  <si>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</si>
  <si>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</si>
  <si>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</si>
  <si>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</si>
  <si>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</si>
  <si>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</si>
  <si>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</si>
  <si>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</si>
  <si>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</si>
  <si>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</si>
  <si>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</si>
  <si>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</si>
  <si>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</si>
  <si>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</si>
  <si>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</si>
  <si>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</si>
  <si>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</si>
  <si>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</si>
  <si>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</si>
  <si>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</si>
  <si>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</si>
  <si>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</si>
  <si>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</si>
  <si>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</si>
  <si>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</si>
  <si>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</si>
  <si>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</si>
  <si>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</si>
  <si>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</si>
  <si>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</si>
  <si>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</si>
  <si>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</si>
  <si>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</si>
  <si>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</si>
  <si>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</si>
  <si>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</si>
  <si>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</si>
  <si>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</si>
  <si>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193 do 201)</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</si>
  <si>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</si>
  <si>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</si>
  <si>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</si>
  <si>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</si>
  <si>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</si>
  <si>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</si>
  <si>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</si>
  <si>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</si>
  <si>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</si>
  <si>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</si>
  <si>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</si>
  <si>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 xml:space="preserve">Prihodi od prodaje proizvoda i robe te pruženih usluga i prihodi od donacija </t>
  </si>
  <si>
    <t>67</t>
  </si>
  <si>
    <t>Prihodi iz proračuna</t>
  </si>
  <si>
    <t>68</t>
  </si>
  <si>
    <t>Kazne, upravne mjere i ostali prihodi</t>
  </si>
  <si>
    <t xml:space="preserve">RASHODI POSLOVANJA (AOP 009 do 015) </t>
  </si>
  <si>
    <t xml:space="preserve">Pomoći dane u inozemstvo i unutar općeg proračuna </t>
  </si>
  <si>
    <t>Povećanje zaliha proizvodnje i gotovih proizvoda (AOP 017-016)</t>
  </si>
  <si>
    <t xml:space="preserve">Smanjenje zaliha proizvodnje i gotovih proizvoda (AOP 016-017) </t>
  </si>
  <si>
    <t>RASHODI ZA NABAVU NEFINANCIJSKE IMOVINE (AOP 022 do 026)</t>
  </si>
  <si>
    <t xml:space="preserve">Rashodi za nabavu neproizvedene dugotrajne imovine </t>
  </si>
  <si>
    <t>Podatak pod AOP oznakom 648 mora biti veći ili jednak zbroju podataka pod AOP oznakama 650 i 652. Isto tako ako je podatak na AOP-u 648 veći od nule, AOP-i 650 i 652 ne mogu oba biti jednaka nuli.</t>
  </si>
  <si>
    <t>AOP 042 mora biti veći ili jednak AOP 043+044. Ako je AOP 042 veći od nule tada barem jedan od AOP-a 043 i 044 mora biti veći od nule.</t>
  </si>
  <si>
    <t>AOP 058 mora biti veći ili jednak AOP-u 059.</t>
  </si>
  <si>
    <t>AOP oznaka 041 mora biti jednaka oznaci 009. Iznimno, AOP oznaka 041 može biti manja od AOP oznake 009, ali ako je AOP 009 popunjen, tada AOP oznaka 041 ne može biti nula.</t>
  </si>
  <si>
    <t>AOP 024 u oba stupca mora biti veći ili jednak AOP-u 084</t>
  </si>
  <si>
    <t>Podatak pod AOP oznakom 649 mora biti veći ili jednak zbroju podataka pod AOP oznakama 651 i 653. Isto tako ako je podatak na AOP-u 649 veći od nule, AOP-i 651 i 653 ne mogu oba biti jednaka nuli.</t>
  </si>
  <si>
    <t>Podatak pod AOP oznakom 304 mora biti jednak zbroju podataka pod AOP oznakama 731 i 732 u oba stupca podataka (izvještajno razdoblje tekuće i prethodne godine).</t>
  </si>
  <si>
    <t>Podatak pod AOP oznakom 318 mora biti jednak zbroju podataka pod AOP oznakama 733 i 734 u oba stupca podataka (izvještajno razdoblje tekuće i prethodne godine).</t>
  </si>
  <si>
    <t>Podatak pod AOP oznakom 361 mora biti jednak zbroju podataka pod AOP oznakama 735 i 736 u oba stupca podataka (izvještajno razdoblje tekuće i prethodne godine).</t>
  </si>
  <si>
    <t>Kapitalne pomoći ostalim financijskim institucijama izvan javnog sektora</t>
  </si>
  <si>
    <t>Kapitalne pomoći obrtnicima</t>
  </si>
  <si>
    <t xml:space="preserve">Rashodi za nabavu neproizvedene dugotrajne imovine u tijelima </t>
  </si>
  <si>
    <t>Rashodi za nabavu neproizvedene dugotrajne imovine kod korisnika</t>
  </si>
  <si>
    <t>Kontrolni zbroj (AOP 648 do 736)</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</si>
  <si>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</si>
  <si>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</si>
  <si>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</si>
  <si>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</si>
  <si>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</si>
  <si>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</si>
  <si>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</si>
  <si>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</si>
  <si>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</si>
  <si>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</si>
  <si>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</si>
  <si>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</si>
  <si>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</si>
  <si>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</si>
  <si>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</si>
  <si>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</si>
  <si>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</si>
  <si>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</si>
  <si>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312</t>
  </si>
  <si>
    <t>Ostali rashodi za zaposlene</t>
  </si>
  <si>
    <t>313</t>
  </si>
  <si>
    <t>32</t>
  </si>
  <si>
    <t>3211</t>
  </si>
  <si>
    <t>Službena putovanja</t>
  </si>
  <si>
    <t>3212</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</si>
  <si>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</si>
  <si>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</si>
  <si>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</si>
  <si>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</si>
  <si>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</si>
  <si>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</si>
  <si>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</si>
  <si>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</si>
  <si>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</si>
  <si>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</si>
  <si>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</si>
  <si>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</si>
  <si>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</si>
  <si>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</si>
  <si>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</si>
  <si>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</si>
  <si>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</si>
  <si>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</si>
  <si>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</si>
  <si>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r>
      <t xml:space="preserve">Razina 12
</t>
    </r>
    <r>
      <rPr>
        <sz val="8"/>
        <rFont val="Arial"/>
        <family val="2"/>
        <charset val="238"/>
      </rPr>
      <t xml:space="preserve">- na </t>
    </r>
    <r>
      <rPr>
        <b/>
        <sz val="8"/>
        <rFont val="Arial"/>
        <family val="2"/>
        <charset val="238"/>
      </rPr>
      <t>mjesečnoj</t>
    </r>
    <r>
      <rPr>
        <sz val="8"/>
        <rFont val="Arial"/>
        <family val="2"/>
        <charset val="238"/>
      </rPr>
      <t xml:space="preserve"> razini predaje obrazac Obveze,
- za </t>
    </r>
    <r>
      <rPr>
        <b/>
        <sz val="8"/>
        <rFont val="Arial"/>
        <family val="2"/>
        <charset val="238"/>
      </rPr>
      <t>kvartale</t>
    </r>
    <r>
      <rPr>
        <sz val="8"/>
        <rFont val="Arial"/>
        <family val="2"/>
        <charset val="238"/>
      </rPr>
      <t xml:space="preserve"> ne predaje ništa (samo mjesečnog izvještaja Obveze i za ta razdoblja),
- za </t>
    </r>
    <r>
      <rPr>
        <b/>
        <sz val="8"/>
        <rFont val="Arial"/>
        <family val="2"/>
        <charset val="238"/>
      </rPr>
      <t>polugodište</t>
    </r>
    <r>
      <rPr>
        <sz val="8"/>
        <rFont val="Arial"/>
        <family val="2"/>
        <charset val="238"/>
      </rPr>
      <t xml:space="preserve"> predaju samo obrazac PR-RAS (i mjesečni Obveze za istu oznaku razdoblja)
- za </t>
    </r>
    <r>
      <rPr>
        <b/>
        <sz val="8"/>
        <rFont val="Arial"/>
        <family val="2"/>
        <charset val="238"/>
      </rPr>
      <t xml:space="preserve">kraj godine </t>
    </r>
    <r>
      <rPr>
        <sz val="8"/>
        <rFont val="Arial"/>
        <family val="2"/>
        <charset val="238"/>
      </rPr>
      <t>predaje obrasce: PR-RAS, BIL, P-VRIO i RAS-funkcijski.
S obzirom da rok za predaju mjesečnog obrasca Obveze i ostalih obrazaca nije isti, bez obzira na istu AOP oznaku razdoblja, za polugodište ili godinu ne mogu biti istovremeno popunjeni obrazac Obveze i ostali obvezni obrasci. Za ta razdoblja se predaju dvije Excel datoteke, u jednoj je popunjen samo mjesečni obrazac Obveze i u drugoj se popunjavaju ostali obvezni obrasci. Kontrola javlja pogrešku ako za odabrano razdoblje nije popunjen obrazac koji treba biti ili popunjen obrazac koji se ne predaje.</t>
    </r>
  </si>
  <si>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</si>
  <si>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</si>
  <si>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</si>
  <si>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</si>
  <si>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</si>
  <si>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</si>
  <si>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</si>
  <si>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</si>
  <si>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</si>
  <si>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</si>
  <si>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</si>
  <si>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</si>
  <si>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</si>
  <si>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</si>
  <si>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</si>
  <si>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</si>
  <si>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</si>
  <si>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</si>
  <si>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</si>
  <si>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</si>
  <si>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</si>
  <si>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</si>
  <si>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</si>
  <si>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</si>
  <si>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</si>
  <si>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</si>
  <si>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</si>
  <si>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</si>
  <si>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</si>
  <si>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</si>
  <si>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</si>
  <si>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Manjak prihoda poslovanja - preneseni</t>
  </si>
  <si>
    <t>96</t>
  </si>
  <si>
    <t>Obračunati prihodi poslovanja - nenaplaćeni</t>
  </si>
  <si>
    <t>7</t>
  </si>
  <si>
    <t>Rudna bogatstva</t>
  </si>
  <si>
    <t>Prihodi od prodaje ostale prirodne materijalne imovine</t>
  </si>
  <si>
    <t>Patenti</t>
  </si>
  <si>
    <t>Koncesije</t>
  </si>
  <si>
    <t>Licence</t>
  </si>
  <si>
    <t>Ostala prava</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</si>
  <si>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</si>
  <si>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</si>
  <si>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</si>
  <si>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</si>
  <si>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</si>
  <si>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</si>
  <si>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</si>
  <si>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</si>
  <si>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</si>
  <si>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</si>
  <si>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</si>
  <si>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</si>
  <si>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</si>
  <si>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</si>
  <si>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</si>
  <si>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</si>
  <si>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</si>
  <si>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</si>
  <si>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</si>
  <si>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</si>
  <si>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</si>
  <si>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</si>
  <si>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</si>
  <si>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</si>
  <si>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</si>
  <si>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</si>
  <si>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</si>
  <si>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</si>
  <si>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</si>
  <si>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</si>
  <si>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</si>
  <si>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</si>
  <si>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</si>
  <si>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</si>
  <si>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</si>
  <si>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</si>
  <si>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</si>
  <si>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</si>
  <si>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</si>
  <si>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</si>
  <si>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</si>
  <si>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</si>
  <si>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</si>
  <si>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</si>
  <si>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</si>
  <si>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Imate li problema tehničke naravi s popunjavanjem obrasca, pošaljite putem e-pošte opis pogreške koja vam se javlja, koji program i koju verziju koristite za popunjavanje, te zajedno s svojim kontakt podacima problematičnu Excel datoteku na adresu e-pošte: rgfi@fina.hr.</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</si>
  <si>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</si>
  <si>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</si>
  <si>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</si>
  <si>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</si>
  <si>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</si>
  <si>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</si>
  <si>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</si>
  <si>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</si>
  <si>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</si>
  <si>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</si>
  <si>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</si>
  <si>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</si>
  <si>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</si>
  <si>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</si>
  <si>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</si>
  <si>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</si>
  <si>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</si>
  <si>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</si>
  <si>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</si>
  <si>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</si>
  <si>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</si>
  <si>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</si>
  <si>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</si>
  <si>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</si>
  <si>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</si>
  <si>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</si>
  <si>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</si>
  <si>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</si>
  <si>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</si>
  <si>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</si>
  <si>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</si>
  <si>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</si>
  <si>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</si>
  <si>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</si>
  <si>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</si>
  <si>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</si>
  <si>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</si>
  <si>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</si>
  <si>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</si>
  <si>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</si>
  <si>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</si>
  <si>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</si>
  <si>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</si>
  <si>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</si>
  <si>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</si>
  <si>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</si>
  <si>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</si>
  <si>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</si>
  <si>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</si>
  <si>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</si>
  <si>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</si>
  <si>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</si>
  <si>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</si>
  <si>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</si>
  <si>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</si>
  <si>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</si>
  <si>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</si>
  <si>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</si>
  <si>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</si>
  <si>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</si>
  <si>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</si>
  <si>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</si>
  <si>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</si>
  <si>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</si>
  <si>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</si>
  <si>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</si>
  <si>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</si>
  <si>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</si>
  <si>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</si>
  <si>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</si>
  <si>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</si>
  <si>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</si>
  <si>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</si>
  <si>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</si>
  <si>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</si>
  <si>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</si>
  <si>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</si>
  <si>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</si>
  <si>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</si>
  <si>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</si>
  <si>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</si>
  <si>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</si>
  <si>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</si>
  <si>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</si>
  <si>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</si>
  <si>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</si>
  <si>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</si>
  <si>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</si>
  <si>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</si>
  <si>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</si>
  <si>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</si>
  <si>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</si>
  <si>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</si>
  <si>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</si>
  <si>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</si>
  <si>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</si>
  <si>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</si>
  <si>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</si>
  <si>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</si>
  <si>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</si>
  <si>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</si>
  <si>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</si>
  <si>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</si>
  <si>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</si>
  <si>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</si>
  <si>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</si>
  <si>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</si>
  <si>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</si>
  <si>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</si>
  <si>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</si>
  <si>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</si>
  <si>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</si>
  <si>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</si>
  <si>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</si>
  <si>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</si>
  <si>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</si>
  <si>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</si>
  <si>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</si>
  <si>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</si>
  <si>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</si>
  <si>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</si>
  <si>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</si>
  <si>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</si>
  <si>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</si>
  <si>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</si>
  <si>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</si>
  <si>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</si>
  <si>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</si>
  <si>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</si>
  <si>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Radovi na krovištu</t>
  </si>
  <si>
    <t>Ostale specijalizirane građevinske djelatnosti, d. n.</t>
  </si>
  <si>
    <t xml:space="preserve">Trgovina automobilima i motornim vozilima lake kategorije </t>
  </si>
  <si>
    <t>Trgovina ostalim motornim vozilima</t>
  </si>
  <si>
    <t xml:space="preserve">Trgovina na veliko dijelovima i priborom za motorna vozila </t>
  </si>
  <si>
    <t>Otplata glavnice primljenih zajmova od međunarodnih organizacija - dugoročnih</t>
  </si>
  <si>
    <t>54141</t>
  </si>
  <si>
    <t>Otplata glavnice primljenih kredita i zajmova od institucija i tijela EU - kratkoročnih</t>
  </si>
  <si>
    <t>54142</t>
  </si>
  <si>
    <t>Otplata glavnice primljenih kredita i zajmova od institucija i tijela EU - dugoročnih</t>
  </si>
  <si>
    <t>54151</t>
  </si>
  <si>
    <t>Otplata glavnice primljenih zajmova od inozemnih vlada u EU - kratkoročnih</t>
  </si>
  <si>
    <t>54152</t>
  </si>
  <si>
    <t>Otplata glavnice primljenih zajmova od inozemnih vlada u EU - dugoročnih</t>
  </si>
  <si>
    <t>54161</t>
  </si>
  <si>
    <t>Otplata glavnice primljenih zajmova od inozemnih vlada izvan EU - kratkoročnih</t>
  </si>
  <si>
    <t>54162</t>
  </si>
  <si>
    <t>Otplata glavnice primljenih zajmova od inozemnih vlada izvan EU - dugoročnih</t>
  </si>
  <si>
    <t>54711</t>
  </si>
  <si>
    <t>Otplata glavnice primljenih zajmova od državnog proračuna - kratkoročnih</t>
  </si>
  <si>
    <t>2.1.0.</t>
  </si>
  <si>
    <t>Popravljen je prikaz datuma od i do na nekim obrascima koji se je poremetio ubacivanjem novih razdoblja za 2010.</t>
  </si>
  <si>
    <t>Ako je iznos na AOP-u 402 veći od nule, a iznos na AOP-u 745 (povrat zajmova danih tuzemnim osiguravajućim društvima izvan javnog sektora - dugoročni) je jednak nuli, provjerite AOP 745. Ako je njegov iznos stvarno toliki, zanemarite ovu kontrolu.</t>
  </si>
  <si>
    <t>Trgovina na malo telekomunikacijskom opremom u specijaliziranim prodavaonicama</t>
  </si>
  <si>
    <t>Dodan popis novih razdjela za 2012. godinu. Omogućen unos razdoblja i za 2012. godinu (nema više mogućnosti za unos razdoblja ranijih od 2011. godine).</t>
  </si>
  <si>
    <t xml:space="preserve">Prihodi od financijske imovine (AOP 069 do 075) </t>
  </si>
  <si>
    <t>Prihodi od pozitivnih tečajnih razlika i razlika zbog primjene valutne klauzule</t>
  </si>
  <si>
    <t>Prihodi iz dobiti trgovačkih društava, kreditnih i ostalih financijskih institucija po posebnim propisima</t>
  </si>
  <si>
    <t>Prihodi od nefinancijske imovine (AOP 077 do 081)</t>
  </si>
  <si>
    <t>Naknada za korištenje nefinancijske imovine</t>
  </si>
  <si>
    <t>Prihodi od kamata na dane zajmove (AOP 083 do 089)</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</si>
  <si>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</si>
  <si>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</si>
  <si>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</si>
  <si>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</si>
  <si>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</si>
  <si>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</si>
  <si>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</si>
  <si>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091+096+103)</t>
  </si>
  <si>
    <t>Upravne i administrativne pristojbe (AOP 092 do 095)</t>
  </si>
  <si>
    <t>Ostale upravne pristojbe i naknade</t>
  </si>
  <si>
    <t>Ostale pristojbe i naknade</t>
  </si>
  <si>
    <t>Prihodi po posebnim propisima (AOP 097 do 102)</t>
  </si>
  <si>
    <t>Prihodi vodnog gospodarstva</t>
  </si>
  <si>
    <t>Naknade od financijske imovine</t>
  </si>
  <si>
    <t>Komunalni doprinosi i naknade (AOP 104 do 106)</t>
  </si>
  <si>
    <t>Komunalni doprinosi</t>
  </si>
  <si>
    <t>Komunalne naknade</t>
  </si>
  <si>
    <t>Naknade za priključak</t>
  </si>
  <si>
    <t>Prihodi od prodaje proizvoda i robe te pruženih usluga i prihodi od donacija (AOP 108+111)</t>
  </si>
  <si>
    <t>Prihodi od prodaje proizvoda i robe te pruženih usluga (AOP 109+110)</t>
  </si>
  <si>
    <t>Prihodi od prodaje proizvoda i robe</t>
  </si>
  <si>
    <t>Prihodi od pruženih usluga</t>
  </si>
  <si>
    <t>Donacije od pravnih i fizičkih osoba izvan općeg proračuna (AOP 112+113)</t>
  </si>
  <si>
    <t>Prihodi iz proračuna (AOP 115)</t>
  </si>
  <si>
    <t>Prihodi iz proračuna za financiranje redovne djelatnosti proračunskih korisnika (AOP 116 do 118)</t>
  </si>
  <si>
    <t>Prihodi za financiranje rashoda za nabavu nefinancijske imovine</t>
  </si>
  <si>
    <t>Prihodi na temelju ugovorenih obveza</t>
  </si>
  <si>
    <t>Kazne, upravne mjere i ostali prihodi (AOP 120+130)</t>
  </si>
  <si>
    <t>Kazne i upravne mjere (AOP 121 do 129)</t>
  </si>
  <si>
    <t>Kazne za carinske prekršaje</t>
  </si>
  <si>
    <t>Kazne za porezne prekršaje</t>
  </si>
  <si>
    <t>Kazne za prekršaje trgovačkih društava - privredne prijestupe</t>
  </si>
  <si>
    <t>Kazne za prekršaje u prometu</t>
  </si>
  <si>
    <t>Kazne i druge mjere u kaznenom postupku</t>
  </si>
  <si>
    <t>Kazne za prekršaje na kulturnim dobrima</t>
  </si>
  <si>
    <t>Upravne mjere</t>
  </si>
  <si>
    <t>Ostali prihodi (AOP 131)</t>
  </si>
  <si>
    <t>Ostali prihodi</t>
  </si>
  <si>
    <t xml:space="preserve">RASHODI POSLOVANJA (AOP 133+145+178+197+205+217+224) </t>
  </si>
  <si>
    <t>Rashodi za zaposlene (AOP 134+139+141)</t>
  </si>
  <si>
    <t xml:space="preserve">Plaće (bruto) (AOP 135 do 138) </t>
  </si>
  <si>
    <t>Ostali rashodi za zaposlene (AOP 140)</t>
  </si>
  <si>
    <t>Doprinosi na plaće (AOP 142 do 144)</t>
  </si>
  <si>
    <t>Doprinosi za obvezno zdravstveno osiguranje</t>
  </si>
  <si>
    <t>Materijalni rashodi (AOP 146+151+159+169+171)</t>
  </si>
  <si>
    <t>Naknade troškova zaposlenima (AOP 147 do 150)</t>
  </si>
  <si>
    <t>Ostale naknade troškova zaposlenima</t>
  </si>
  <si>
    <t>Rashodi za materijal i energiju (AOP 152 do 158)</t>
  </si>
  <si>
    <t>Službena, radna i zaštitna odjeća i obuća</t>
  </si>
  <si>
    <t>Rashodi za usluge (AOP 160 do 168)</t>
  </si>
  <si>
    <t>Naknade troškova osobama izvan radnog odnosa (AOP 170)</t>
  </si>
  <si>
    <t>Naknade troškova osobama izvan radnog odnosa</t>
  </si>
  <si>
    <t>Ostali nespomenuti rashodi poslovanja (AOP 172 do 177)</t>
  </si>
  <si>
    <t>Pristojbe i naknade</t>
  </si>
  <si>
    <t xml:space="preserve">Financijski rashodi (AOP 179+184+192) </t>
  </si>
  <si>
    <t>Kamate za izdane vrijednosne papire (AOP 180 do 183)</t>
  </si>
  <si>
    <t>Kamate za primljene kredite i zajmove (AOP 185 do 191)</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</si>
  <si>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</si>
  <si>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</si>
  <si>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</si>
  <si>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</si>
  <si>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</si>
  <si>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</si>
  <si>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Ostali financijski rashodi (AOP 193 do 196)</t>
  </si>
  <si>
    <t>Negativne tečajne razlike i razlike zbog primjene valutne klauzule</t>
  </si>
  <si>
    <t>Subvencije (AOP 198+201)</t>
  </si>
  <si>
    <t>Subvencije trgovačkim društvima u javnom sektoru (AOP 199+200)</t>
  </si>
  <si>
    <t>Subvencije kreditnim i ostalim financijskim institucijama u javnom sektoru</t>
  </si>
  <si>
    <t>Subvencije kreditnim i ostalim financijskim institucijama izvan javnog sektora</t>
  </si>
  <si>
    <t>Subvencije poljoprivrednicima i obrtnicima</t>
  </si>
  <si>
    <t>Pomoći dane u inozemstvo i unutar općeg proračuna (AOP 206+209+212)</t>
  </si>
  <si>
    <t>Pomoći inozemnim vladama (AOP 207+208)</t>
  </si>
  <si>
    <t>Pomoći međunarodnim organizacijama te institucijama i tijelima EU (AOP 210+211)</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</si>
  <si>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</si>
  <si>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</si>
  <si>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</si>
  <si>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</si>
  <si>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</si>
  <si>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</si>
  <si>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</si>
  <si>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</si>
  <si>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</si>
  <si>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</si>
  <si>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</si>
  <si>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 xml:space="preserve">Rashodi za dodatna ulaganja na nefinancijskoj imovini </t>
  </si>
  <si>
    <t>Pomoći međunarodnim organizacijama te institucijama i tijelima EU (AOP 088+089)</t>
  </si>
  <si>
    <t>Pomoći unutar općeg proračuna (AOP 091 do 094)</t>
  </si>
  <si>
    <t>Naknade građanima i kućanstvima na temelju osiguranja i druge naknade (AOP 096+099)</t>
  </si>
  <si>
    <t>Naknade građanima i kućanstvima na temelju osiguranja (AOP 097+098)</t>
  </si>
  <si>
    <t>Naknade građanima i kućanstvima iz proračuna (AOP 100+101)</t>
  </si>
  <si>
    <t>Ostale naknade građanima i kućanstvima u naravi</t>
  </si>
  <si>
    <t>Ostali izdaci (AOP 103+106+109+114)</t>
  </si>
  <si>
    <t xml:space="preserve">Tekuće donacije (AOP 104+105) </t>
  </si>
  <si>
    <t xml:space="preserve">Kapitalne donacije (AOP 107+108) </t>
  </si>
  <si>
    <t>Kazne, penali i naknade štete (AOP 110 do 113)</t>
  </si>
  <si>
    <t>Kapitalne pomoći (AOP 115 do 117)</t>
  </si>
  <si>
    <t>Neto primici iz poslovnih aktivnosti (AOP 001-010)</t>
  </si>
  <si>
    <t>Neto izdaci iz poslovnih aktivnosti (AOP 010-001)</t>
  </si>
  <si>
    <t>Primici od prodaje nefinancijske imovine (AOP 121 do 124)</t>
  </si>
  <si>
    <t xml:space="preserve">Primici od prodaje neproizvedene dugotrajne imovine </t>
  </si>
  <si>
    <t>Izdaci za nabavu nefinancijske imovine (AOP 126+140+174+180+183)</t>
  </si>
  <si>
    <t>Izdaci za nabavu neproizvedene dugotrajne imovine (AOP 127+131+138)</t>
  </si>
  <si>
    <t>Materijalna imovina - prirodna bogatstva (AOP 128 do 130)</t>
  </si>
  <si>
    <t>Nematerijalna imovina (AOP 132 do 137)</t>
  </si>
  <si>
    <t>Predujmovi za nabavu neproizvedene imovine (AOP 139)</t>
  </si>
  <si>
    <t>Izdaci za nabavu proizvedene dugotrajne imovine (AOP 141+146+154+159+164+167+172)</t>
  </si>
  <si>
    <t>Građevinski objekti (AOP 142 do 145)</t>
  </si>
  <si>
    <t>Postrojenja i oprema (AOP 147 do 153)</t>
  </si>
  <si>
    <t>Prijevozna sredstva (AOP 155 do 158)</t>
  </si>
  <si>
    <t>Knjige, umjetnička djela i ostale izložbene vrijednosti (AOP 160 do 163)</t>
  </si>
  <si>
    <t>OPĆENITE KONTROLE - KONTROLE PODATAKA IZ ZAGLAVLJA, KONTROLE POPUNJENOSTI I KONTROLE IZMEĐU OBRAZACA</t>
  </si>
  <si>
    <t>PR-RAS - obvezne kontrole</t>
  </si>
  <si>
    <t>PR-RAS - kontrole upozorenja</t>
  </si>
  <si>
    <t>BIL - obvezne kontrole</t>
  </si>
  <si>
    <t>OBVEZE - obvezne kontrole</t>
  </si>
  <si>
    <t>P-VRIO - obvezne kontrole</t>
  </si>
  <si>
    <t>URED VIJEĆA ZA NACIONALNU SIGURNOST</t>
  </si>
  <si>
    <t>428</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</si>
  <si>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</si>
  <si>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</si>
  <si>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</si>
  <si>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</si>
  <si>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</si>
  <si>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</si>
  <si>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</si>
  <si>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</si>
  <si>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</si>
  <si>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</si>
  <si>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</si>
  <si>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</si>
  <si>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</si>
  <si>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126+129+130+131+132+133+134+135+136)</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</si>
  <si>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</si>
  <si>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</si>
  <si>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</si>
  <si>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</si>
  <si>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</si>
  <si>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</si>
  <si>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</si>
  <si>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</si>
  <si>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</si>
  <si>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</si>
  <si>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</si>
  <si>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</si>
  <si>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</si>
  <si>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</si>
  <si>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</si>
  <si>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</si>
  <si>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</si>
  <si>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</si>
  <si>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</si>
  <si>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</si>
  <si>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</si>
  <si>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</si>
  <si>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</si>
  <si>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</si>
  <si>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</si>
  <si>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</si>
  <si>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</si>
  <si>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</si>
  <si>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</si>
  <si>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</si>
  <si>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</si>
  <si>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</si>
  <si>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</si>
  <si>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</si>
  <si>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</si>
  <si>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</si>
  <si>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</si>
  <si>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</si>
  <si>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</si>
  <si>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</si>
  <si>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</si>
  <si>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</si>
  <si>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</si>
  <si>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</si>
  <si>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</si>
  <si>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</si>
  <si>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</si>
  <si>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</si>
  <si>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</si>
  <si>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</si>
  <si>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</si>
  <si>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</si>
  <si>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</si>
  <si>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</si>
  <si>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</si>
  <si>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</si>
  <si>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</si>
  <si>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</si>
  <si>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</si>
  <si>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</si>
  <si>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</si>
  <si>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</si>
  <si>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Predujmovi za nabavu plemenitih metala, umjetničkih i znanstvenih djela i ostalih vrijednosti</t>
  </si>
  <si>
    <t>44</t>
  </si>
  <si>
    <t>45</t>
  </si>
  <si>
    <t>451</t>
  </si>
  <si>
    <t>Osnovna istraživanja</t>
  </si>
  <si>
    <t>015</t>
  </si>
  <si>
    <t>Istraživanje i razvoj: Opće javne usluge</t>
  </si>
  <si>
    <t>016</t>
  </si>
  <si>
    <t>Opće javne usluge koje nisu drugdje svrstane</t>
  </si>
  <si>
    <t>017</t>
  </si>
  <si>
    <t>Transakcije vezane za javni dug</t>
  </si>
  <si>
    <t>018</t>
  </si>
  <si>
    <t>Opće usluge vezane za službenike</t>
  </si>
  <si>
    <t>0132</t>
  </si>
  <si>
    <r>
      <t xml:space="preserve">Razina 42
</t>
    </r>
    <r>
      <rPr>
        <sz val="8"/>
        <rFont val="Arial"/>
        <family val="2"/>
        <charset val="238"/>
      </rPr>
      <t xml:space="preserve">-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obrazac PR-RAS,
- na </t>
    </r>
    <r>
      <rPr>
        <b/>
        <sz val="8"/>
        <rFont val="Arial"/>
        <family val="2"/>
        <charset val="238"/>
      </rPr>
      <t>godišnjoj</t>
    </r>
    <r>
      <rPr>
        <sz val="8"/>
        <rFont val="Arial"/>
        <family val="2"/>
        <charset val="238"/>
      </rPr>
      <t xml:space="preserve"> razini predaje obrasce: PR-RAS, BIL , P-VRIO i Obveze. 
Zavisno od odabranog razdoblja, ako je popunjen obrazac koji ne treba biti popunjen, ili nije popunjen obrazac koji treba biti popunjen, ova kontrola javlja pogrešku.</t>
    </r>
  </si>
  <si>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</si>
  <si>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AOP 798 je samo dio AOP-a 488 i mora biti manji ili jednak njemu u oba stupca podataka</t>
  </si>
  <si>
    <t>AOP 800 je samo dio AOP-a 498 i mora biti manji ili jednak njemu u oba stupca podataka</t>
  </si>
  <si>
    <t>AOP 801 je samo dio AOP-a 501 i mora biti manji ili jednak njemu u oba stupca podataka</t>
  </si>
  <si>
    <t>AOP 802 je samo dio AOP-a 502 i mora biti manji ili jednak njemu u oba stupca podataka</t>
  </si>
  <si>
    <t>AOP 803 je samo dio AOP-a 503 i mora biti manji ili jednak njemu u oba stupca podataka</t>
  </si>
  <si>
    <t>AOP 806 je samo dio AOP-a 507 i mora biti manji ili jednak njemu u oba stupca podataka</t>
  </si>
  <si>
    <t>AOP 807 je samo dio AOP-a 508 i mora biti manji ili jednak njemu u oba stupca podataka</t>
  </si>
  <si>
    <t>AOP 808 je samo dio AOP-a 509 i mora biti manji ili jednak njemu u oba stupca podataka</t>
  </si>
  <si>
    <t>AOP 827 je samo dio AOP-a 554 i mora biti manji ili jednak njemu u oba stupca podataka</t>
  </si>
  <si>
    <t>Suma AOP oznaka 048 do 057+059 do 063 mora biti manja ili jednaka AOP oznaci 047. Kontrola upozorava ako je ovaj zbroj veći od AOP oznake 047, što u pravilu ne bi smio biti.</t>
  </si>
  <si>
    <t>Tekuće pomoći unutar općeg proračuna</t>
  </si>
  <si>
    <t xml:space="preserve">Kapitalne pomoći unutar općeg proračuna </t>
  </si>
  <si>
    <t>Tekuće pomoći proračunskim korisnicima temeljem prijenosa sredstava EU</t>
  </si>
  <si>
    <t>Kapitalne pomoći proračunskim korisnicima temeljem prijenosa sredstava EU</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</si>
  <si>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</si>
  <si>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</si>
  <si>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</si>
  <si>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</si>
  <si>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</si>
  <si>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</si>
  <si>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</si>
  <si>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</si>
  <si>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</si>
  <si>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</si>
  <si>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</si>
  <si>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</si>
  <si>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</si>
  <si>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</si>
  <si>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</si>
  <si>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</si>
  <si>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</si>
  <si>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Ostale tekuće obveze</t>
  </si>
  <si>
    <t>24</t>
  </si>
  <si>
    <t>Obveze za nabavu nefinancijske imovine</t>
  </si>
  <si>
    <t>25</t>
  </si>
  <si>
    <t>2511</t>
  </si>
  <si>
    <t>Obveze za čekove</t>
  </si>
  <si>
    <t>Knjige, umjetnička djela i ostale izložbene vrijednosti (AOP 030 do 033 - 034)</t>
  </si>
  <si>
    <t>Ispravak vrijednosti knjiga, umjetničkih djela i ostalih izložbenih vrijednosti</t>
  </si>
  <si>
    <t>Sitni inventar u upotrebi</t>
  </si>
  <si>
    <t>Dugotrajna nefinancijska imovina u pripremi (AOP 051 do 056)</t>
  </si>
  <si>
    <t>Ostala nefinancijska dugotrajna imovina u pripremi</t>
  </si>
  <si>
    <t>AOP 094 mora biti jednak zbroju AOP-a: 312 + 313. Dopušteno je odstupanje od 1kn zbog zaokruživanja</t>
  </si>
  <si>
    <t>AOP 117 mora biti jednak zbroju AOP-a: 325+326. Dopušteno je odstupanje od 1kn zbog zaokruživanja</t>
  </si>
  <si>
    <t>AOP 068 mora biti veći ili jednak zbroju AOP-a: 284 do 286.</t>
  </si>
  <si>
    <t>NT - kontrole upozorenja</t>
  </si>
  <si>
    <t>Upozorenje: Ako je iznos na AOP-u 026 veći od 1000, iznos na AOP-u 271 bi morao biti barem 75% iznosa na AOP-a 148, Kontrola upozorava ako je ovaj iznos manje od 75%. Provjerite upisani podatak i ispravite ako je iznos krivo upisan.</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</si>
  <si>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označeno "DA"</t>
    </r>
    <r>
      <rPr>
        <sz val="8"/>
        <rFont val="Arial"/>
        <family val="2"/>
        <charset val="238"/>
      </rPr>
      <t>, tj. da predajete i obrazac P-VRIO, bez obzira na popunjenost iznosima. Kontrola javlja grešku ako je u bilo koju poziciju upisan iznos a nije označeno "DA" na referentnoj stranici.</t>
    </r>
  </si>
  <si>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</si>
  <si>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</si>
  <si>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</si>
  <si>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</si>
  <si>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</si>
  <si>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</si>
  <si>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</si>
  <si>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</si>
  <si>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</si>
  <si>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</si>
  <si>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</si>
  <si>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</si>
  <si>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</si>
  <si>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</si>
  <si>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</si>
  <si>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Primici od izdanih vrijednosnih papira (AOP 421+424+427+430)</t>
  </si>
  <si>
    <t>Trezorski zapisi (AOP 422+423)</t>
  </si>
  <si>
    <t>Trezorski zapisi - tuzemni</t>
  </si>
  <si>
    <t>Trezorski zapisi - inozemni</t>
  </si>
  <si>
    <t>Obveznice (AOP 425+426)</t>
  </si>
  <si>
    <t>Opcije i drugi financijski derivati (AOP 428+429)</t>
  </si>
  <si>
    <t>Ostali vrijednosni papiri (AOP 431+432)</t>
  </si>
  <si>
    <t>Primici od prodaje dionica i udjela u glavnici (AOP 434+438+440+443)</t>
  </si>
  <si>
    <t>Primici od prodaje dionica i udjela u glavnici kreditnih i ostalih financijskih institucija u javnom sektoru (AOP 435 do 437)</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</si>
  <si>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</si>
  <si>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</si>
  <si>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</si>
  <si>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 (AOP 439)</t>
  </si>
  <si>
    <t>Primici od prodaje dionica i udjela u glavnici kreditnih i ostalih financijskih institucija izvan javnog sektora (AOP 441+442)</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</si>
  <si>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</si>
  <si>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</si>
  <si>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</si>
  <si>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</si>
  <si>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</si>
  <si>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</si>
  <si>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</si>
  <si>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</si>
  <si>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</si>
  <si>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</si>
  <si>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</si>
  <si>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</si>
  <si>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</si>
  <si>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</si>
  <si>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</si>
  <si>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Ako je iznos na AOP-u 508 veći od nule, a iznos na AOP-u 807 (dani zajmovi tuzemnim osiguravajućim društvima izvan javnog sektora - dugoročni) je jednak nuli, provjerite AOP 807. Ako je njegov iznos stvarno toliki, zanemarite ovu kontrolu.</t>
  </si>
  <si>
    <t>Ako je iznos na AOP-u 509 veći od nule, a iznos na AOP-u 808 (dani zajmovi ostalim tuzemnim financijskim institucijama izvan javnog sektora - dugoročni) je jednak nuli, provjerite AOP 808. Ako je njegov iznos stvarno toliki, zanemarite ovu kontrolu.</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</si>
  <si>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</si>
  <si>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</si>
  <si>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</si>
  <si>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</si>
  <si>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</si>
  <si>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</si>
  <si>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</si>
  <si>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</si>
  <si>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</si>
  <si>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</si>
  <si>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</si>
  <si>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</si>
  <si>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</si>
  <si>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</si>
  <si>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</si>
  <si>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</si>
  <si>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</si>
  <si>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</si>
  <si>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</si>
  <si>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</si>
  <si>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</si>
  <si>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</si>
  <si>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</si>
  <si>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</si>
  <si>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</si>
  <si>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</si>
  <si>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</si>
  <si>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</si>
  <si>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</si>
  <si>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</si>
  <si>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</si>
  <si>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</si>
  <si>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</si>
  <si>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</si>
  <si>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</si>
  <si>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</si>
  <si>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</si>
  <si>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</si>
  <si>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Obveznice - inozemne</t>
  </si>
  <si>
    <t>Otplata glavnice primljenih zajmova od izvanproračunskih korisnika županijskih, gradskih i općinskih proračuna</t>
  </si>
  <si>
    <t>Izdaci za otplatu glavnice za izdane vrijednosne papire (AOP 585+588+591)</t>
  </si>
  <si>
    <t>Izdaci za otplatu glavnice za izdane trezorske zapise (AOP 586+587)</t>
  </si>
  <si>
    <t>Izdaci za otplatu glavnice za izdane obveznice (AOP 589+590)</t>
  </si>
  <si>
    <t>Izdaci za otplatu glavnice za izdane ostale vrijednosne papire (AOP 592+593)</t>
  </si>
  <si>
    <t>VIŠAK PRIMITAKA OD FINANCIJSKE IMOVINE I OBVEZA (AOP 384-490)</t>
  </si>
  <si>
    <t>MANJAK PRIMITAKA OD FINANCIJSKE IMOVINE I OBVEZA (AOP 490-384)</t>
  </si>
  <si>
    <t>UKUPNI PRIHODI I PRIMICI (AOP 377+384)</t>
  </si>
  <si>
    <t>UKUPNI RASHODI I IZDACI (AOP 378+490)</t>
  </si>
  <si>
    <t>VIŠAK PRIHODA I PRIMITAKA (AOP 598-599)</t>
  </si>
  <si>
    <t>MANJAK PRIHODA I PRIMITAKA (AOP 599-598)</t>
  </si>
  <si>
    <t>Višak prihoda i primitaka - preneseni (AOP 381+596-382-597)</t>
  </si>
  <si>
    <t>Manjak prihoda i primitaka - preneseni (AOP 382+597-381-596)</t>
  </si>
  <si>
    <t>AOP 838 je samo dio AOP-a 566 i mora biti manji ili jednak njemu u oba stupca podataka</t>
  </si>
  <si>
    <t>AOP 842 je samo dio AOP-a 569 i mora biti manji ili jednak njemu u oba stupca podataka</t>
  </si>
  <si>
    <t>AOP 843 je samo dio AOP-a 570 i mora biti manji ili jednak njemu u oba stupca podataka</t>
  </si>
  <si>
    <t>AOP 844 je samo dio AOP-a 572 i mora biti manji ili jednak njemu u oba stupca podataka</t>
  </si>
  <si>
    <t>AOP 845 je samo dio AOP-a 573 i mora biti manji ili jednak njemu u oba stupca podataka</t>
  </si>
  <si>
    <t>AOP 846 je samo dio AOP-a 574 i mora biti manji ili jednak njemu u oba stupca podataka</t>
  </si>
  <si>
    <t>AOP 565 mora biti jednak zbroju AOP-a: 836+837 u oba stupca podataka. Dopušteno je odstupanje od 1kn zbog zaokruživanja.</t>
  </si>
  <si>
    <t>AOP 839 je samo dio AOP-a 567 i mora biti manji ili jednak njemu u oba stupca podataka</t>
  </si>
  <si>
    <t>___________________________________</t>
  </si>
  <si>
    <t>AOP 861 je samo dio AOP-a 592 i mora biti manji ili jednak njemu u oba stupca podataka</t>
  </si>
  <si>
    <t>Ako je na AOP-u 648 (rashodi za zaposlene u tijelima) podatak veći od nule, tada podaci na AOP-ima 650 i 652 ne mogu biti jednaki nuli i ne mogu zbrojeno biti veći od AOP-a 648</t>
  </si>
  <si>
    <t>Ako je na AOP-u 649 (rashodi za zaposlene kod korisnika) podatak veći od nule, tada podaci na AOP-ima 651 i 653 ne mogu biti jednaki nuli i ne mogu zbrojeno biti veći od AOP-a 649</t>
  </si>
  <si>
    <t>Samo na AOP oznakama 003 i 012 u iznimnim slučajevima iznosi mogu biti negativni, iznosi svih ostalih AOP-a moraju biti pozitivni; ako je iznos ijednog drugog AOP-a negativan kontrola nije zadovoljena i obrazac je neispravan.</t>
  </si>
  <si>
    <t>Kontrola na broj zaposlenih. Ova kontrola upozorava ako je broj zaposlenih na bilo kojoj stavci zaposlenih (AOP oznake 611 do 614) veći od 1000. Ako je broj zaposlenih stvarno toliki, zanemarite kontrolu.</t>
  </si>
  <si>
    <t>Ako je obrazac razine 11 korisnici mogu imati popunjene samo AOP oznake 612 i 614, a na AOP oznakama 611 i 613 iznos mora biti nula. Glave unutar nadležnog ministarstva mogu imati popunjene samo AOP oznake 611 i 613 a iznosi AOP oznaka 612 i 614 moraju biti nula. Ova kontrola ne vrijedi kad je u pitanju glava unutar nadležnog ministarstva / razdjela koja ima iskazane i rashode proračunskih korisnika iz svoje nadležnosti, gdje mogu biti iskazani i AOP 612 i AOP 614.</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</si>
  <si>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</si>
  <si>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</si>
  <si>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</si>
  <si>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</si>
  <si>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</si>
  <si>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</si>
  <si>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</si>
  <si>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</si>
  <si>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</si>
  <si>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</si>
  <si>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</si>
  <si>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</si>
  <si>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</si>
  <si>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</si>
  <si>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</si>
  <si>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</si>
  <si>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</si>
  <si>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Vrijednosni papiri (AOP 105+112-119)</t>
  </si>
  <si>
    <t>Vrijednosni papiri - tuzemni (AOP 106 do 111)</t>
  </si>
  <si>
    <t>Vrijednosni papiri - inozemni (AOP 113 do 118)</t>
  </si>
  <si>
    <t>Dionice i udjeli u glavnici (AOP 121+128-131)</t>
  </si>
  <si>
    <t>Dionice i udjeli u glavnici - tuzemni (AOP 122 do 127)</t>
  </si>
  <si>
    <t>1512</t>
  </si>
  <si>
    <t>1513</t>
  </si>
  <si>
    <t>1514</t>
  </si>
  <si>
    <t>Dionice i udjeli u glavnici - inozemni (AOP 129+130)</t>
  </si>
  <si>
    <t>Ako postoji značajan iznos na AOP-u 148, iznos na AOP-u 658 bi u pravilu bi trebao biti barem 75% iznosa upisanog na AOP oznaci 148. Kontrola upozorava ako je postotak tog iznosa manji od 75%. Provjerite upisani iznos na AOP 658 (naknade za prijevoz na posao i s posla). Ako je njegov iznos stvarno toliki, zanemarite ovu kontrolu.</t>
  </si>
  <si>
    <t>Ako je iznos na AOP-u 019 veći od nule, a iznos na AOP-u 616 (porez na korištenje javnih površina) je jednak nuli, provjerite AOP 616. Ako je njegov iznos stvarno toliki, zanemarite ovu kontrolu.</t>
  </si>
  <si>
    <t>Potraživanja za kazne i upravne mjere te ostale prihode</t>
  </si>
  <si>
    <t>Rashodi budućih razdoblja i nedospjela naplata prihoda (AOP 144+145)</t>
  </si>
  <si>
    <t>MOTOVUN</t>
  </si>
  <si>
    <t>MRKOPALJ</t>
  </si>
  <si>
    <t>MURSKO SREDIŠĆE</t>
  </si>
  <si>
    <t>NAŠICE</t>
  </si>
  <si>
    <t>NEDELIŠĆE</t>
  </si>
  <si>
    <t>NEREŽIŠĆA</t>
  </si>
  <si>
    <t>NETRETIĆ</t>
  </si>
  <si>
    <t>NIN</t>
  </si>
  <si>
    <t>Ako je iznos na AOP-u 028 veći od nule, a iznosi na AOP-u 617 (porez na cestovna motorna vozila) i na AOP-u 618 (porez na tvrtku odnosno naziv tvrtke) su jednaki nuli, provjerite AOP-e 617 i 618 . Ako su njihovi iznosi stvarno toliki, zanemarite ovu kontrolu.</t>
  </si>
  <si>
    <t>Ako je iznos na AOP-u 075 veći od nule, a iznos na AOP-u 637 (premije na izdane vrijednosne papire) je jednak nuli, provjerite AOP 637. Ako je njegov iznos stvarno toliki, zanemarite ovu kontrolu.</t>
  </si>
  <si>
    <t>Ako je iznos na AOP-u 101 veći od nule, a iznosi na AOP-u 645 (sufinanciranje cijene usluge, participacije i slično) i na AOP-u 646 (dopunsko zdravstveno osiguranje) su jednaki nuli, provjerite AOP-e 645 i 646. Ako su njihovi iznosi stvarno toliki, zanemarite ovu kontrolu.</t>
  </si>
  <si>
    <t>Ako je iznos na AOP-u 172 veći od nule, a iznos na AOP-u 663 (naknade članovima predstavničkih i izvršnih tijela i upravnih vijeća) je jednak nuli, provjerite AOP 663. Ako je njegov iznos stvarno toliki, zanemarite ovu kontrolu.</t>
  </si>
  <si>
    <t>Ako je iznos na AOP-u 173 veći od nule, a iznos na AOP-u 664 (premije osiguranja zaposlenih) je jednak nuli, provjerite AOP 664. Ako je njegov iznos stvarno toliki, zanemarite ovu kontrolu.</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</si>
  <si>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</si>
  <si>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</si>
  <si>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</si>
  <si>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</si>
  <si>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</si>
  <si>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</si>
  <si>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</si>
  <si>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</si>
  <si>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</si>
  <si>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</si>
  <si>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3226</t>
  </si>
  <si>
    <t xml:space="preserve">Vojna oprema </t>
  </si>
  <si>
    <t>323</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</si>
  <si>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</si>
  <si>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</si>
  <si>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</si>
  <si>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</si>
  <si>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</si>
  <si>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</si>
  <si>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</si>
  <si>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</si>
  <si>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Proizvedena dugotrajna imovina (AOP 008+014+023+029+035+039)</t>
  </si>
  <si>
    <t>021 i 02921</t>
  </si>
  <si>
    <t>0211</t>
  </si>
  <si>
    <t>0212</t>
  </si>
  <si>
    <t>0213</t>
  </si>
  <si>
    <t>0214</t>
  </si>
  <si>
    <t>02921</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</si>
  <si>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</si>
  <si>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</si>
  <si>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</si>
  <si>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</si>
  <si>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</si>
  <si>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</si>
  <si>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</si>
  <si>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</si>
  <si>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</si>
  <si>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</si>
  <si>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</si>
  <si>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</si>
  <si>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</si>
  <si>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</si>
  <si>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</si>
  <si>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</si>
  <si>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</si>
  <si>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</si>
  <si>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</si>
  <si>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</si>
  <si>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</si>
  <si>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</si>
  <si>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</si>
  <si>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</si>
  <si>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</si>
  <si>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</si>
  <si>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</si>
  <si>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</si>
  <si>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</si>
  <si>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</si>
  <si>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</si>
  <si>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</si>
  <si>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</si>
  <si>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</si>
  <si>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Ako je u nekom stupcu na AOP-u 648 (rashodi za zaposlene u tijelima) podatak veći od nule, podaci moraju biti veći od nule i na AOP-ima 611 i 613 (broj zaposlenih u tijelima) u istom stupcu. Ova kontrola ne vrijedi za obrasce razine 13.</t>
  </si>
  <si>
    <t>Ako je podatak na AOP-u 649 (rashodi za zaposlene kod korisnika) veći od nule, moraju biti veći od nule i AOP-i podaci na AOP-ima 612 i 614 (broj zaposlenih kod korisnika).</t>
  </si>
  <si>
    <t>Viljevo</t>
  </si>
  <si>
    <t>Gračac</t>
  </si>
  <si>
    <t>Otočac</t>
  </si>
  <si>
    <t>Vinica</t>
  </si>
  <si>
    <t>2.0.7.</t>
  </si>
  <si>
    <t>Obveze za vrijednosne papire</t>
  </si>
  <si>
    <t>91522</t>
  </si>
  <si>
    <t>AOP 058 mora biti jednak zbroju AOP-a: 623 do 626 u oba stupca podataka. Zbog zaokruživanja je dopuštena razlika od 1.</t>
  </si>
  <si>
    <t>AOP 057 mora biti jednak zbroju AOP-a: 619 do 622 u oba stupca podataka. Zbog zaokruživanja je dopuštena razlika od 1.</t>
  </si>
  <si>
    <t>AOP 637 je samo dio AOP-a 075 i mora biti manji ili jednak njemu u oba stupca podataka</t>
  </si>
  <si>
    <t>AOP 658 je samo dio AOP-a 148 i mora biti manji ili jednak njemu u oba stupca podataka</t>
  </si>
  <si>
    <t>AOP 659 je samo dio AOP-a 165 i mora biti manji ili jednak njemu u oba stupca podataka</t>
  </si>
  <si>
    <t>AOP 663 je samo dio AOP-a 172 i mora biti manji ili jednak njemu u oba stupca podataka</t>
  </si>
  <si>
    <t>AOP 664 je samo dio AOP-a 173 i mora biti manji ili jednak njemu u oba stupca podataka</t>
  </si>
  <si>
    <t>AOP 089 mora biti jednak zbroju AOP-a: 638 do 644 u oba stupca podataka. Zbog zaokruživanja je dopuštena razlika od 1.</t>
  </si>
  <si>
    <t>Zbroj AOP-a: 660+661+662 je samo dio AOP-a 166 i mora biti manji ili jednaki njemu u oba stupca podataka</t>
  </si>
  <si>
    <t>AOP 185 mora biti jednak zbroju AOP-a: 673 do 676 u oba stupca podataka. Dopušteno je odstupanje od 1kn zbog zaokruživanja.</t>
  </si>
  <si>
    <t>AOP 186 mora biti jednak zbroju AOP-a: 677 do 679 u oba stupca podataka. Dopušteno je odstupanje od 1kn zbog zaokruživanja.</t>
  </si>
  <si>
    <t>AOP 187 mora biti jednak zbroju AOP-a: 680 do 685 u oba stupca podataka. Dopušteno je odstupanje od 1kn zbog zaokruživanja.</t>
  </si>
  <si>
    <t>AOP 180 mora biti jednak zbroju AOP-a: 665+666 u oba stupca podataka. Dopušteno je odstupanje od 1kn zbog zaokruživanja.</t>
  </si>
  <si>
    <t>AOP 181 mora biti jednak zbroju AOP-a: 667+668 u oba stupca podataka. Dopušteno je odstupanje od 1kn zbog zaokruživanja.</t>
  </si>
  <si>
    <t>AOP 182 mora biti jednak zbroju AOP-a: 669+670 u oba stupca podataka. Dopušteno je odstupanje od 1kn zbog zaokruživanja.</t>
  </si>
  <si>
    <t>AOP 183 mora biti jednak zbroju AOP-a: 671+672 u oba stupca podataka. Dopušteno je odstupanje od 1kn zbog zaokruživanja.</t>
  </si>
  <si>
    <t>AOP 696 je samo dio AOP-a 196 i mora biti manji ili jednak njemu u oba stupca podataka</t>
  </si>
  <si>
    <t>Zbroj AOP-a 686+687+688 je samo dio AOP-a 190 i mora biti manji ili jednak njemu u oba stupca podataka</t>
  </si>
  <si>
    <t>AOP 191 mora biti jednak zbroju AOP-a: 689 do 695 u oba stupca podataka. Dopušteno je odstupanje od 1kn zbog zaokruživanja.</t>
  </si>
  <si>
    <t>AOP 213 mora biti jednak zbroju AOP-a: 699 do 705 u oba stupca podataka. Dopušteno je odstupanje od 1kn zbog zaokruživanja.</t>
  </si>
  <si>
    <t>AOP 214 mora biti jednak zbroju AOP-a: 706 do 712 u oba stupca podataka. Dopušteno je odstupanje od 1kn zbog zaokruživanja.</t>
  </si>
  <si>
    <t>Zbroj AOP-a: 717+718 je samo dio AOP-a 222 i mora biti manji ili jednak njemu u oba stupca podataka</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</si>
  <si>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</si>
  <si>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</si>
  <si>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</si>
  <si>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</si>
  <si>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</si>
  <si>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</si>
  <si>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</si>
  <si>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</si>
  <si>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</si>
  <si>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</si>
  <si>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</si>
  <si>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</si>
  <si>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</si>
  <si>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</si>
  <si>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</si>
  <si>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</si>
  <si>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</si>
  <si>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</si>
  <si>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</si>
  <si>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</si>
  <si>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</si>
  <si>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</si>
  <si>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</si>
  <si>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</si>
  <si>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</si>
  <si>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</si>
  <si>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</si>
  <si>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</si>
  <si>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</si>
  <si>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</si>
  <si>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</si>
  <si>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</si>
  <si>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</si>
  <si>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</si>
  <si>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</si>
  <si>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</si>
  <si>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</si>
  <si>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</si>
  <si>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</si>
  <si>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</si>
  <si>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Kombinirane uredske administrativne uslužne djelatnosti</t>
  </si>
  <si>
    <t>Fotokopiranje, priprema dokumenata i ostale specijalizirane uredske pomoćne djelatnosti</t>
  </si>
  <si>
    <t>Organizacija sastanaka i poslovnih sajmova</t>
  </si>
  <si>
    <t>AOP 616 je samo dio AOP-a 019 i mora biti manji ili jednak njemu u oba stupca podataka</t>
  </si>
  <si>
    <t>AOP 062 mora biti jednak zbroju AOP-a: 631 do 633 u oba stupca podataka</t>
  </si>
  <si>
    <t>AOP 063 mora biti jednak zbroju AOP-a: 634 do 636 u oba stupca podataka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</si>
  <si>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</si>
  <si>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</si>
  <si>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</si>
  <si>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</si>
  <si>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</si>
  <si>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</si>
  <si>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</si>
  <si>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</si>
  <si>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</si>
  <si>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</si>
  <si>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Bošnjaci</t>
  </si>
  <si>
    <t>Kršan</t>
  </si>
  <si>
    <t>Senj</t>
  </si>
  <si>
    <t>Brckovljani</t>
  </si>
  <si>
    <t>Kukljica</t>
  </si>
  <si>
    <t>Manjak prihoda - preneseni (AOP 248+375-247-374)</t>
  </si>
  <si>
    <t>Obračunati prihodi - nenaplaćeni (AOP 249+376)</t>
  </si>
  <si>
    <t>PRIMICI I IZDACI</t>
  </si>
  <si>
    <t>Primici od financijske imovine i zaduživanja (AOP 385+420+433+446+477)</t>
  </si>
  <si>
    <t>Primljene otplate (povrati) glavnice danih zajmova (AOP 386+391+394+398+400+407+412)</t>
  </si>
  <si>
    <t>Primici (povrati) glavnice zajmova danih međunarodnim organizacijama, institucijama i tijelima EU te inozemnim vladama (AOP 387 do 390)</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</si>
  <si>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</si>
  <si>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</si>
  <si>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</si>
  <si>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</si>
  <si>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</si>
  <si>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</si>
  <si>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</si>
  <si>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</si>
  <si>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VP158</t>
  </si>
  <si>
    <t>VP159</t>
  </si>
  <si>
    <t>VP160</t>
  </si>
  <si>
    <t>VP161</t>
  </si>
  <si>
    <t>VER</t>
  </si>
  <si>
    <t>Trgovina na veliko poljoprivrednim strojevima, opremom i priborom</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</si>
  <si>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</si>
  <si>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</si>
  <si>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</si>
  <si>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</si>
  <si>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Trgovina na veliko metalima i metalnim rudama</t>
  </si>
  <si>
    <t>AOP 002 u oba stupca mora biti veći ili jednak sumi AOP-a 031 do 036.</t>
  </si>
  <si>
    <t>AOP 005 u oba stupca mora biti veći ili jednak sumi AOP-a 037 do 039</t>
  </si>
  <si>
    <t>AOP 006 u oba stupca mora biti jednak AOP-u 040</t>
  </si>
  <si>
    <t>AOP 013 u oba stupca mora biti veći ili  jednak sumi AOP-a: 065 do 068</t>
  </si>
  <si>
    <t>AOP 022 u oba stupca mora biti veći ili jednak sumi AOP-a: 071 do 073</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</si>
  <si>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</si>
  <si>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</si>
  <si>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</si>
  <si>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</si>
  <si>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</si>
  <si>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</si>
  <si>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</si>
  <si>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</si>
  <si>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</si>
  <si>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</si>
  <si>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</si>
  <si>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</si>
  <si>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</si>
  <si>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</si>
  <si>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</si>
  <si>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</si>
  <si>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</si>
  <si>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</si>
  <si>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</si>
  <si>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</si>
  <si>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</si>
  <si>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</si>
  <si>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</si>
  <si>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</si>
  <si>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</si>
  <si>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</si>
  <si>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</si>
  <si>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</si>
  <si>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</si>
  <si>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</si>
  <si>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</si>
  <si>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</si>
  <si>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</si>
  <si>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</si>
  <si>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</si>
  <si>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</si>
  <si>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</si>
  <si>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</si>
  <si>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</si>
  <si>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</si>
  <si>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Prosječan broj zaposlenih kod korisnika na osnovi stanja krajem izvještajnom razdoblja (cijeli broj)</t>
  </si>
  <si>
    <t>Porez na dobit (AOP 013 do 016 - 017)</t>
  </si>
  <si>
    <t>Porezi na imovinu (AOP 019 do 023)</t>
  </si>
  <si>
    <t>Proizvodnja ravnog stakla</t>
  </si>
  <si>
    <t>Oblikovanje i obrada ravnog stakla</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</si>
  <si>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</si>
  <si>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</si>
  <si>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</si>
  <si>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</si>
  <si>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</si>
  <si>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</si>
  <si>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</si>
  <si>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</si>
  <si>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</si>
  <si>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</si>
  <si>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Primici (povrati) glavnice zajmova danih trgovačkim društvima u javnom sektoru (AOP 399)</t>
  </si>
  <si>
    <t>Povrat zajmova danih trgovačkim društvima u javnom sektoru</t>
  </si>
  <si>
    <t>Primici (povrati) glavnice zajmova danih kreditnim i ostalim financijskim institucijama izvan javnog sektora (AOP 401 do 406)</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</si>
  <si>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</si>
  <si>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</si>
  <si>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</si>
  <si>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</si>
  <si>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</si>
  <si>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</si>
  <si>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 xml:space="preserve">Primici (povrati) glavnice zajmova danih trgovačkim društvima i obrtnicima izvan javnog sektora (AOP 408 do 411) </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</si>
  <si>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</si>
  <si>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</si>
  <si>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</si>
  <si>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</si>
  <si>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413 do 419)</t>
  </si>
  <si>
    <t xml:space="preserve">IZDACI POSLOVANJA (AOP 011+023+056+075+083+095+102) </t>
  </si>
  <si>
    <t>Izdaci za zaposlene (AOP 012+017+019)</t>
  </si>
  <si>
    <t xml:space="preserve">Plaće (AOP 013 do 016) </t>
  </si>
  <si>
    <t>Ostali rashodi za zaposlene (AOP 018)</t>
  </si>
  <si>
    <t>Doprinosi na plaće (AOP 020 do 022)</t>
  </si>
  <si>
    <t xml:space="preserve">Doprinosi za obvezno osiguranje u slučaju nezaposlenosti </t>
  </si>
  <si>
    <t>Materijalni izdaci (AOP 024+029+037+047+049)</t>
  </si>
  <si>
    <t>Naknade troškova zaposlenima (AOP 025 do 028)</t>
  </si>
  <si>
    <t>Izdaci za materijal i energiju (AOP 030 do 036)</t>
  </si>
  <si>
    <t>Izdaci za usluge (AOP 038 do 046)</t>
  </si>
  <si>
    <t>Naknade troškova osobama izvan radnog odnosa (AOP 048)</t>
  </si>
  <si>
    <t>Ostali nespomenuti izdaci poslovanja (AOP 050 do 055)</t>
  </si>
  <si>
    <t xml:space="preserve">Financijski izdaci (AOP 057+062+070) </t>
  </si>
  <si>
    <t>Kamate za izdane vrijednosne papire (AOP 058 do 061)</t>
  </si>
  <si>
    <t>Kamate za primljene kredite i zajmove (AOP 063 do 069)</t>
  </si>
  <si>
    <t xml:space="preserve">Kamate za primljene kredite i zajmove od međunarodnih organizacija, institucija i tijela EU te inozemnih vlada </t>
  </si>
  <si>
    <t>Ostali financijski izdaci (AOP 071 do 074)</t>
  </si>
  <si>
    <t>Subvencije (AOP 076+079)</t>
  </si>
  <si>
    <t>Subvencije trgovačkim društvima u javnom sektoru (AOP 077+078)</t>
  </si>
  <si>
    <t>Subvencije trgovačkim društvima, poljoprivrednicima i obrtnicima izvan javnog sektora (AOP 080 do 082)</t>
  </si>
  <si>
    <t>Pomoći dane u inozemstvo i unutar općeg proračuna (AOP 084+087+090)</t>
  </si>
  <si>
    <t>Pomoći inozemnim vladama (AOP 085+086)</t>
  </si>
  <si>
    <t xml:space="preserve">Knjige, umjetnička djela i ostale izložbene vrijednosti </t>
  </si>
  <si>
    <t xml:space="preserve">Višegodišnji nasadi i osnovno stado </t>
  </si>
  <si>
    <t xml:space="preserve">Nematerijalna proizvedena imovina </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</si>
  <si>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</si>
  <si>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</si>
  <si>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</si>
  <si>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</si>
  <si>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</si>
  <si>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Višegodišnji nasadi i osnovno stado (AOP 165+166)</t>
  </si>
  <si>
    <t>Nematerijalna proizvedena imovina (AOP 168 do 171)</t>
  </si>
  <si>
    <t>Predujmovi za nabavu proizvedene dugotrajne imovine (AOP 173)</t>
  </si>
  <si>
    <r>
      <t xml:space="preserve">Razina 41
</t>
    </r>
    <r>
      <rPr>
        <sz val="8"/>
        <rFont val="Arial"/>
        <family val="2"/>
        <charset val="238"/>
      </rPr>
      <t xml:space="preserve">- ne predaje </t>
    </r>
    <r>
      <rPr>
        <b/>
        <sz val="8"/>
        <rFont val="Arial"/>
        <family val="2"/>
        <charset val="238"/>
      </rPr>
      <t>mjesečni</t>
    </r>
    <r>
      <rPr>
        <sz val="8"/>
        <rFont val="Arial"/>
        <family val="2"/>
        <charset val="238"/>
      </rPr>
      <t xml:space="preserve"> obrazac Obveze (osim HZZO-a, HZMO, HZZ-a)
- za </t>
    </r>
    <r>
      <rPr>
        <b/>
        <sz val="8"/>
        <rFont val="Arial"/>
        <family val="2"/>
        <charset val="238"/>
      </rPr>
      <t>kvartale</t>
    </r>
    <r>
      <rPr>
        <sz val="8"/>
        <rFont val="Arial"/>
        <family val="2"/>
        <charset val="238"/>
      </rPr>
      <t xml:space="preserve"> (prvi i treći kvartal) predaje obrasce PR-RAS, NT i Obveze
- za </t>
    </r>
    <r>
      <rPr>
        <b/>
        <sz val="8"/>
        <rFont val="Arial"/>
        <family val="2"/>
        <charset val="238"/>
      </rPr>
      <t>polugodište</t>
    </r>
    <r>
      <rPr>
        <sz val="8"/>
        <rFont val="Arial"/>
        <family val="2"/>
        <charset val="238"/>
      </rPr>
      <t xml:space="preserve"> predaje obrasce PR-RAS, NT i Obveze
- na godišnjoj razini predaje obrasce: PR-RAS, BIL, NT, RAS-funkcijski, P-VRIO i Obveze. 
</t>
    </r>
    <r>
      <rPr>
        <b/>
        <sz val="8"/>
        <rFont val="Arial"/>
        <family val="2"/>
        <charset val="238"/>
      </rPr>
      <t>Izuzetak</t>
    </r>
    <r>
      <rPr>
        <sz val="8"/>
        <rFont val="Arial"/>
        <family val="2"/>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</si>
  <si>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</si>
  <si>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</si>
  <si>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</si>
  <si>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</si>
  <si>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</si>
  <si>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</si>
  <si>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</si>
  <si>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</si>
  <si>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</si>
  <si>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577 do 583)</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</si>
  <si>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</si>
  <si>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</si>
  <si>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</si>
  <si>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</si>
  <si>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</si>
  <si>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</si>
  <si>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3.0.1.</t>
  </si>
  <si>
    <r>
      <t xml:space="preserve">Razina </t>
    </r>
    <r>
      <rPr>
        <b/>
        <sz val="8"/>
        <color indexed="56"/>
        <rFont val="Arial"/>
        <family val="2"/>
        <charset val="238"/>
      </rPr>
      <t xml:space="preserve">42 ne može imati popunjene AOP oznake: </t>
    </r>
    <r>
      <rPr>
        <sz val="8"/>
        <color indexed="56"/>
        <rFont val="Arial"/>
        <family val="2"/>
        <charset val="238"/>
      </rPr>
      <t>003 do 034, 040 do 046, 115 do 118, 121, 157, 206 do 211, 218 do 220, 302, 360, 386 do 390, 393, 404 do 406, 410, 411, 421 do 423, 426 do 429, 432, 442, 445, 447 do 451, 480, 483 do 486, 489, 492 do 496, 499, 510, 511, 512, 516, 517, 529, 532 do 538, 548, 551, 555 do 557, 585 do 587, 590, 593, 646, 666, 668, 670, 672. Ako je na bilo kojoj od ovih AOP oznaka upisan iznos, a obrazac je razine 42, kontrola javlja grešku i obrazac je neispravan.</t>
    </r>
  </si>
  <si>
    <t>DRŽAVNI URED ZA OBNOVU I STAMBENO ZBRINJAVANJE</t>
  </si>
  <si>
    <t>3.0.4.</t>
  </si>
  <si>
    <t>Dodan razdjel 029 - Državni ured za upravljanje državnom imovinom. Dodana razdoblja za 2013. godinu. Dorađena je kontrola 14 - dodana je iznimka za obveznike koji su počeli s radom tokom godine, a ne od 1.1. Kod tih obveznika kontrola vrijedi samo za kolonu tekuće godine. Popravljena je kontrola 241 u koloni tekuće godine. Dodano je objašnjenje za prikaz datuma izvještavanja i datuma rada obveznika u 2. pasusu Uputa. Dodana je verzija Excel datoteke i na referentnu stranicu radi lakše provjere verzije.</t>
  </si>
  <si>
    <t>Ako je iznos na AOP-u 140 veći od nule, a iznosi na AOP-u 654 (otpremnine) i na AOP-u 655 (naknade za bolest, invalidnost i smrtni slučaj) su jednaki nuli, provjerite AOP-e 654 i 655. Ako su njihovi iznosi stvarno toliki, zanemarite ovu kontrolu.</t>
  </si>
  <si>
    <t>Ako je iznos na AOP-u 165 veći od nule, a iznos na AOP-u 659 (obvezni i preventivni zdravstveni pregledi zaposlenika) je jednak nuli, provjerite AOP 659. Ako je njegov iznos stvarno toliki, zanemarite ovu kontrolu.</t>
  </si>
  <si>
    <r>
      <t xml:space="preserve">Razina 21
- </t>
    </r>
    <r>
      <rPr>
        <sz val="8"/>
        <rFont val="Arial"/>
        <family val="2"/>
        <charset val="238"/>
      </rPr>
      <t xml:space="preserve">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(prvi i treći kvartal) predaje samo obrazac S-PR-RAS
- za </t>
    </r>
    <r>
      <rPr>
        <b/>
        <sz val="8"/>
        <rFont val="Arial"/>
        <family val="2"/>
        <charset val="238"/>
      </rPr>
      <t>polugodište</t>
    </r>
    <r>
      <rPr>
        <sz val="8"/>
        <rFont val="Arial"/>
        <family val="2"/>
        <charset val="238"/>
      </rPr>
      <t xml:space="preserve"> predaje samo brazac PR-RAS,
- na </t>
    </r>
    <r>
      <rPr>
        <b/>
        <sz val="8"/>
        <rFont val="Arial"/>
        <family val="2"/>
        <charset val="238"/>
      </rPr>
      <t>godišnjoj</t>
    </r>
    <r>
      <rPr>
        <sz val="8"/>
        <rFont val="Arial"/>
        <family val="2"/>
        <charset val="238"/>
      </rPr>
      <t xml:space="preserve"> razini predaje tri obrasca: PR-RAS, BIL i P-VRIO. 
Zavisno od odabranog razdoblja, ako je popunjen obrazac koji ne treba biti popunjen, ili nije popunjen obrazac koji treba biti popunjen, ova kontrola javlja pogrešku.</t>
    </r>
  </si>
  <si>
    <t>Ako je iznos na AOP-u 460 veći od nule, a iznos na AOP-u 777 (primljeni zajmovi od tuzemnih osiguravajućih društava izvan javnog sektora - dugoročni) je jednak nuli, provjerite AOP 777. Ako je njegov iznos stvarno toliki, zanemarite ovu kontrolu.</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</si>
  <si>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</si>
  <si>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</si>
  <si>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</si>
  <si>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</si>
  <si>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</si>
  <si>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</si>
  <si>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</si>
  <si>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</si>
  <si>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</si>
  <si>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</si>
  <si>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</si>
  <si>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</si>
  <si>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</si>
  <si>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</si>
  <si>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</si>
  <si>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</si>
  <si>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</si>
  <si>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</si>
  <si>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</si>
  <si>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</si>
  <si>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</si>
  <si>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</si>
  <si>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</si>
  <si>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</si>
  <si>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Tekuće pomoći izvanproračunskim korisnicima županijskih, gradskih i općinskih proračuna temeljem prijenosa sredstava EU</t>
  </si>
  <si>
    <t>Kapitalne pomoći proračunskim korisnicima državnog proračuna temeljem prijenosa sredstava EU</t>
  </si>
  <si>
    <t>Kapitalne pomoći izvanproračunskim korisnicima županijskih, gradskih i općinskih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</si>
  <si>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</si>
  <si>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</si>
  <si>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</si>
  <si>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</si>
  <si>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</si>
  <si>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</si>
  <si>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</si>
  <si>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54712</t>
  </si>
  <si>
    <t>Otplata glavnice primljenih zajmova od državnog proračuna - dugoročnih</t>
  </si>
  <si>
    <t>54721</t>
  </si>
  <si>
    <r>
      <t>Razina 23</t>
    </r>
    <r>
      <rPr>
        <sz val="8"/>
        <rFont val="Arial"/>
        <family val="2"/>
        <charset val="238"/>
      </rPr>
      <t xml:space="preserve">, (konsolidirana razina 22)
- ne predaje </t>
    </r>
    <r>
      <rPr>
        <b/>
        <sz val="8"/>
        <rFont val="Arial"/>
        <family val="2"/>
        <charset val="238"/>
      </rPr>
      <t>mjesečni</t>
    </r>
    <r>
      <rPr>
        <sz val="8"/>
        <rFont val="Arial"/>
        <family val="2"/>
        <charset val="238"/>
      </rPr>
      <t xml:space="preserve"> obrazac Obveze
- za </t>
    </r>
    <r>
      <rPr>
        <b/>
        <sz val="8"/>
        <rFont val="Arial"/>
        <family val="2"/>
        <charset val="238"/>
      </rPr>
      <t>kvartale</t>
    </r>
    <r>
      <rPr>
        <sz val="8"/>
        <rFont val="Arial"/>
        <family val="2"/>
        <charset val="238"/>
      </rPr>
      <t xml:space="preserve"> ne predaje ništa (nema konsolidacije za I. i III. kvartal)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</si>
  <si>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</si>
  <si>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r>
      <t>Razina 13 (opća država)</t>
    </r>
    <r>
      <rPr>
        <sz val="8"/>
        <rFont val="Arial"/>
        <family val="2"/>
        <charset val="238"/>
      </rPr>
      <t xml:space="preserve">, 
- ne predaje ništa na </t>
    </r>
    <r>
      <rPr>
        <b/>
        <sz val="8"/>
        <rFont val="Arial"/>
        <family val="2"/>
        <charset val="238"/>
      </rPr>
      <t>mjesečnoj</t>
    </r>
    <r>
      <rPr>
        <sz val="8"/>
        <rFont val="Arial"/>
        <family val="2"/>
        <charset val="238"/>
      </rPr>
      <t xml:space="preserve"> razini,  
- za </t>
    </r>
    <r>
      <rPr>
        <b/>
        <sz val="8"/>
        <rFont val="Arial"/>
        <family val="2"/>
        <charset val="238"/>
      </rPr>
      <t>kvartale</t>
    </r>
    <r>
      <rPr>
        <sz val="8"/>
        <rFont val="Arial"/>
        <family val="2"/>
        <charset val="238"/>
      </rPr>
      <t xml:space="preserve"> predaje obrasce PR-RAS i NT
- za </t>
    </r>
    <r>
      <rPr>
        <b/>
        <sz val="8"/>
        <rFont val="Arial"/>
        <family val="2"/>
        <charset val="238"/>
      </rPr>
      <t>polugodište</t>
    </r>
    <r>
      <rPr>
        <sz val="8"/>
        <rFont val="Arial"/>
        <family val="2"/>
        <charset val="238"/>
      </rPr>
      <t xml:space="preserve"> predaje obrasce PR-RAS i NT,
- na </t>
    </r>
    <r>
      <rPr>
        <b/>
        <sz val="8"/>
        <rFont val="Arial"/>
        <family val="2"/>
        <charset val="238"/>
      </rPr>
      <t>godišnjoj</t>
    </r>
    <r>
      <rPr>
        <sz val="8"/>
        <rFont val="Arial"/>
        <family val="2"/>
        <charset val="238"/>
      </rPr>
      <t xml:space="preserve"> razini predaje obrasce: PR-RAS, BIL, NT, RAS-funkcijski i P-VRIO.
Zavisno od odabranog razdoblja, ako je popunjen obrazac koji ne treba biti popunjen, ili nije popunjen obrazac koji treba biti popunjen, ova kontrola javlja pogrešku.</t>
    </r>
  </si>
  <si>
    <t>AOP 005 mora biti veći ili jednak zbroju AOP-a: 261 do 267.</t>
  </si>
  <si>
    <t>RAS-funkcijski - obvezne kontrole</t>
  </si>
  <si>
    <t>3.0.0.</t>
  </si>
  <si>
    <t>Dodane nove logičke kontrole za sve vrste obrazaca. Omogućen odabir svih razdoblja u 2011. godini.</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</si>
  <si>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</si>
  <si>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</si>
  <si>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</si>
  <si>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</si>
  <si>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</si>
  <si>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</si>
  <si>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Izdaci za dionice i udjele u glavnici (AOP 540+544+546+549)</t>
  </si>
  <si>
    <t>Dionice i udjeli u glavnici kreditnih i ostalih financijskih institucija u javnom sektoru (AOP 541 do 543)</t>
  </si>
  <si>
    <t>Dionice i udjeli u glavnici trgovačkih društava u javnom sektoru (AOP 545)</t>
  </si>
  <si>
    <t>Dionice i udjeli u glavnici tuzemnih kreditnih i ostalih financijskih institucija izvan javnog sektora</t>
  </si>
  <si>
    <t>262,263,2643,2644,
2645,2653,2654,267</t>
  </si>
  <si>
    <t>262,263,2643,2644, 2645,2653,2654,267</t>
  </si>
  <si>
    <t xml:space="preserve">Prihodi iz proračuna za financiranje redovne djelatnosti proračunskih korisnika       </t>
  </si>
  <si>
    <t>Rashodi za zaposlene kod korisnika (AOP 042+045+046)</t>
  </si>
  <si>
    <t>Plaće (bruto)</t>
  </si>
  <si>
    <t>Neto plaće kod korisnika</t>
  </si>
  <si>
    <t>Porez i prirez iz plaće kod korisnika</t>
  </si>
  <si>
    <t>3214</t>
  </si>
  <si>
    <t>3227</t>
  </si>
  <si>
    <t>3611</t>
  </si>
  <si>
    <t>3612</t>
  </si>
  <si>
    <t>3621</t>
  </si>
  <si>
    <t>3622</t>
  </si>
  <si>
    <t>381</t>
  </si>
  <si>
    <t>Kontrolni zbroj (AOP 029 do 089)</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</si>
  <si>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</si>
  <si>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</si>
  <si>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</si>
  <si>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</si>
  <si>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</si>
  <si>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</si>
  <si>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</si>
  <si>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</si>
  <si>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</si>
  <si>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</si>
  <si>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</si>
  <si>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</si>
  <si>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</si>
  <si>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</si>
  <si>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</si>
  <si>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</si>
  <si>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</si>
  <si>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</si>
  <si>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Primljeni zajmovi od ostalih izvanproračunskih korisnika - kratkoročni</t>
  </si>
  <si>
    <t>Primljeni zajmovi od ostalih izvanproračunskih korisnika - dugoročni</t>
  </si>
  <si>
    <t>Ostali tuzemni vrijednosni papiri - dugoročni</t>
  </si>
  <si>
    <t>Kontrolni zbroj (AOP 738 do 798)</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</si>
  <si>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</si>
  <si>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</si>
  <si>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</si>
  <si>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</si>
  <si>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</si>
  <si>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</si>
  <si>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</si>
  <si>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</si>
  <si>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</si>
  <si>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</si>
  <si>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</si>
  <si>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</si>
  <si>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</si>
  <si>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</si>
  <si>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</si>
  <si>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</si>
  <si>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</si>
  <si>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</si>
  <si>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</si>
  <si>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</si>
  <si>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</si>
  <si>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</si>
  <si>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</si>
  <si>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</si>
  <si>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</si>
  <si>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</si>
  <si>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</si>
  <si>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</si>
  <si>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</si>
  <si>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</si>
  <si>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</si>
  <si>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</si>
  <si>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</si>
  <si>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Novčana sredstva na kraju razdoblja moraju biti jednaka novčanim sredstvima na početku razdoblja, uvećanim za ukupne primitke i umanjenim za ukupne izdatke (AOP 229=228+226-227)</t>
  </si>
  <si>
    <t>Rashodi za zaposlene iskazani na AOP-u 133 moraju biti jednaki rashodima za zaposlene iskazanima na AOP-ima 648 i 649 (AOP 133 = AOP 648+AOP 649) u oba stupca.</t>
  </si>
  <si>
    <t>Materijalni rashodi iskazani na AOP-u 145 moraju biti jednaki materijalnim rashodima iskazanima na AOP-ima 656 i 657 (AOP 145 = AOP 656+AOP 657) u oba stupca.</t>
  </si>
  <si>
    <t>AOP 453 mora biti jednak zbroju AOP-a: 770+771 u oba stupca podataka. Dopušteno je odstupanje od 1 kn zbog zaokruživanja</t>
  </si>
  <si>
    <t>AOP 459 mora biti jednak zbroju AOP-a: 775+776 u oba stupca podataka. Dopušteno je odstupanje od 1 kn zbog zaokruživanja</t>
  </si>
  <si>
    <t>AOP 462 mora biti jednak zbroju AOP-a: 779+780 u oba stupca podataka. Dopušteno je odstupanje od 1 kn zbog zaokruživanja</t>
  </si>
  <si>
    <t>AOP 471 mora biti jednak zbroju AOP-a: 786+787 u oba stupca podataka. Dopušteno je odstupanje od 1kn zbog zaokruživanja.</t>
  </si>
  <si>
    <t>AOP 472 mora biti jednak zbroju AOP-a: 788+789 u oba stupca podataka. Dopušteno je odstupanje od 1kn zbog zaokruživanja.</t>
  </si>
  <si>
    <t>AOP 473 mora biti jednak zbroju AOP-a: 790+791 u oba stupca podataka. Dopušteno je odstupanje od 1kn zbog zaokruživanja.</t>
  </si>
  <si>
    <t>DRŽAVNI URED ZA TRGOVINSKU POLITIKU</t>
  </si>
  <si>
    <t>MINISTARSTVO BRANITELJA</t>
  </si>
  <si>
    <t>MINISTARSTVO GOSPODARSTVA</t>
  </si>
  <si>
    <t>MINISTARSTVO PODUZETNIŠTVA I OBRTA</t>
  </si>
  <si>
    <t>MINISTARSTVO POLJOPRIVREDE</t>
  </si>
  <si>
    <t>MINISTARSTVO REGIONALNOGA RAZVOJA I FONDOVA EUROPSKE UNIJE</t>
  </si>
  <si>
    <t>MINISTARSTVO ZAŠTITE OKOLIŠA I PRIRODE</t>
  </si>
  <si>
    <t>AOP 719 je samo dio AOP-a 223 i mora biti manji ili jednak njemu u oba stupca podataka</t>
  </si>
  <si>
    <t>AOP 720 je samo dio AOP-a 226 i mora biti manji ili jednak njemu u oba stupca podataka</t>
  </si>
  <si>
    <t>AOP 738 je samo dio AOP-a 392 i mora biti manji ili jednak njemu u oba stupca podataka</t>
  </si>
  <si>
    <t>AOP 739 je samo dio AOP-a 395 i mora biti manji ili jednak njemu u oba stupca podataka</t>
  </si>
  <si>
    <t>AOP 740 je samo dio AOP-a 396 i mora biti manji ili jednak njemu u oba stupca podataka</t>
  </si>
  <si>
    <t>AOP 741 je samo dio AOP-a 397 i mora biti manji ili jednak njemu u oba stupca podataka</t>
  </si>
  <si>
    <t>AOP 744 je samo dio AOP-a 401 i mora biti manji ili jednak njemu u oba stupca podataka</t>
  </si>
  <si>
    <t>AOP 745 je samo dio AOP-a 402 i mora biti manji ili jednak njemu u oba stupca podataka</t>
  </si>
  <si>
    <t>AOP 746 je samo dio AOP-a 403 i mora biti manji ili jednak njemu u oba stupca podataka</t>
  </si>
  <si>
    <t>AOP 237 mora biti jednak zbroju AOP-a: 721 do 724 u oba stupca podataka. Dopušteno je odstupanje od 1kn zbog zaokruživanja.</t>
  </si>
  <si>
    <t>AOP 238 mora biti jednak zbroju AOP-a: 725 do 728 u oba stupca podataka. Dopušteno je odstupanje od 1kn zbog zaokruživanja.</t>
  </si>
  <si>
    <t>Zbroj AOP-a: 617+618 je samo dio AOP-a 028 i mora biti manji ili jednak njemu u oba stupca podataka</t>
  </si>
  <si>
    <t>AOP 059 mora biti jednak zbroju AOP-a: 627+628 u oba stupca podataka. Zbog zaokruživanja je dopuštena razlika od 1.</t>
  </si>
  <si>
    <t>AOP 060 mora biti jednak zbroju AOP-a: 629+630 u oba stupca podataka</t>
  </si>
  <si>
    <t>Zbroj AOP-a: 645+646 je samo dio AOP-a 101 i mora biti manji ili jednak njemu u oba stupca podataka.</t>
  </si>
  <si>
    <t>Zbroj AOP-a: 654+655 je samo dio AOP-a 140 i mora biti manji ili jednak njemu u oba stupca podataka</t>
  </si>
  <si>
    <t>AOP 204 mora biti jednak zbroju AOP-a: 697+698 u oba stupca podataka. Dopušteno je odstupanje od 1kn zbog zaokruživanja.</t>
  </si>
  <si>
    <t>AOP 215 mora biti jednak zbroju AOP-a: 713+714 u oba stupca podataka. Dopušteno je odstupanje od 1kn zbog zaokruživanja.</t>
  </si>
  <si>
    <t>AOP 216 mora biti jednak zbroju AOP-a: 715+716 u oba stupca podataka. Dopušteno je odstupanje od 1kn zbog zaokruživanja.</t>
  </si>
  <si>
    <t>Bogdanovci</t>
  </si>
  <si>
    <t>Križ</t>
  </si>
  <si>
    <t>Seget</t>
  </si>
  <si>
    <t>Bol</t>
  </si>
  <si>
    <t>Križevci</t>
  </si>
  <si>
    <t>Selca</t>
  </si>
  <si>
    <t>Borovo</t>
  </si>
  <si>
    <t>Obveze za kazne, naknade šteta i kapitalne pomoći te ostale tekuće obveze (AOP 075 do 078)</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</si>
  <si>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</si>
  <si>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</si>
  <si>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</si>
  <si>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</si>
  <si>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</si>
  <si>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</si>
  <si>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</si>
  <si>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</si>
  <si>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</si>
  <si>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</si>
  <si>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</si>
  <si>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</si>
  <si>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</si>
  <si>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</si>
  <si>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</si>
  <si>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</si>
  <si>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</si>
  <si>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 xml:space="preserve">Prihodi od imovine </t>
  </si>
  <si>
    <t xml:space="preserve">Predujmovi za nabavu proizvedene dugotrajne imovine </t>
  </si>
  <si>
    <t xml:space="preserve">Predujmovi za nabavu plemenitih metala, umjetničkih i znanstvenih djela i ostalih vrijednosti </t>
  </si>
  <si>
    <t xml:space="preserve">Dodatna ulaganja na građevinskim objektima </t>
  </si>
  <si>
    <t xml:space="preserve">Dodatna ulaganja na postrojenjima i opremi </t>
  </si>
  <si>
    <t xml:space="preserve">Dodatna ulaganja na prijevoznim sredstvima </t>
  </si>
  <si>
    <t xml:space="preserve">Dodatna ulaganja za ostalu nefinancijsku imovinu </t>
  </si>
  <si>
    <t xml:space="preserve">Predujmovi za dodatna ulaganja na nefinancijskoj imovini </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</si>
  <si>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</si>
  <si>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</si>
  <si>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</si>
  <si>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</si>
  <si>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</si>
  <si>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</si>
  <si>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</si>
  <si>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</si>
  <si>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</si>
  <si>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</si>
  <si>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</si>
  <si>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</si>
  <si>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</si>
  <si>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</si>
  <si>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</si>
  <si>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</si>
  <si>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</si>
  <si>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</si>
  <si>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</si>
  <si>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</si>
  <si>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</si>
  <si>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</si>
  <si>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</si>
  <si>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</si>
  <si>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</si>
  <si>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</si>
  <si>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</si>
  <si>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</si>
  <si>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</si>
  <si>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</si>
  <si>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</si>
  <si>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</si>
  <si>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&lt;–––– Povratak na Referentnu stranicu</t>
  </si>
  <si>
    <t xml:space="preserve">Dionice i udjeli u glavnici inozemnih kreditnih i ostalih financijskih institucija </t>
  </si>
  <si>
    <t>Primici od prodaje dionica i udjela u glavnici trgovačkih društava izvan javnog sektora (AOP 444+445)</t>
  </si>
  <si>
    <t xml:space="preserve">Primici od zaduživanja (AOP 447+452+456+458+465+470) </t>
  </si>
  <si>
    <t>Primljeni krediti i zajmovi od međunarodnih organizacija, institucija i tijela EU te inozemnih vlada (AOP 448 do 451)</t>
  </si>
  <si>
    <t>Primljeni krediti i zajmovi od institucija i tijela EU</t>
  </si>
  <si>
    <t>Primljeni zajmovi od inozemnih vlada u EU</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</si>
  <si>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</si>
  <si>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</si>
  <si>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</si>
  <si>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</si>
  <si>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 (AOP 457)</t>
  </si>
  <si>
    <t>Primljeni krediti i zajmovi od kreditnih i ostalih financijskih institucija izvan javnog sektora (AOP 459 do 464)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</si>
  <si>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</si>
  <si>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</si>
  <si>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</si>
  <si>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</si>
  <si>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</si>
  <si>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</si>
  <si>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</si>
  <si>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</si>
  <si>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</si>
  <si>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</si>
  <si>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</si>
  <si>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</si>
  <si>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</si>
  <si>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</si>
  <si>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</si>
  <si>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</si>
  <si>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</si>
  <si>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</si>
  <si>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Rashodi budućih razdoblja</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</si>
  <si>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</si>
  <si>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</si>
  <si>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</si>
  <si>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</si>
  <si>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</si>
  <si>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</si>
  <si>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</si>
  <si>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</si>
  <si>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</si>
  <si>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</si>
  <si>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</si>
  <si>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</si>
  <si>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</si>
  <si>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</si>
  <si>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</si>
  <si>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</si>
  <si>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</si>
  <si>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</si>
  <si>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</si>
  <si>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</si>
  <si>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</si>
  <si>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</si>
  <si>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</si>
  <si>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</si>
  <si>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</si>
  <si>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</si>
  <si>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</si>
  <si>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</si>
  <si>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</si>
  <si>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</si>
  <si>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</si>
  <si>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</si>
  <si>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</si>
  <si>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</si>
  <si>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</si>
  <si>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</si>
  <si>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Doprinosi</t>
  </si>
  <si>
    <t>Primici od imovine</t>
  </si>
  <si>
    <t>Dodatna ulaganja na postrojenjima i opremi</t>
  </si>
  <si>
    <t>453</t>
  </si>
  <si>
    <t>Dodatna ulaganja na prijevoznim sredstvima</t>
  </si>
  <si>
    <t>454</t>
  </si>
  <si>
    <t>Dodatna ulaganja za ostalu nefinancijsku imovinu</t>
  </si>
  <si>
    <t>458</t>
  </si>
  <si>
    <t>Predujmovi za dodatna ulaganja na nefinancijskoj imovini</t>
  </si>
  <si>
    <t>92212</t>
  </si>
  <si>
    <t xml:space="preserve">Višak prihoda od nefinancijske imovine - preneseni </t>
  </si>
  <si>
    <t>92222</t>
  </si>
  <si>
    <t xml:space="preserve">Manjak prihoda od nefinancijske imovine - preneseni </t>
  </si>
  <si>
    <t>97</t>
  </si>
  <si>
    <t>Ostala nematerijalna imovina</t>
  </si>
  <si>
    <t>Vižinada</t>
  </si>
  <si>
    <t>Hlebine</t>
  </si>
  <si>
    <t>Petrijanec</t>
  </si>
  <si>
    <t>Dovršavanje tekstila</t>
  </si>
  <si>
    <t>Prelazak na Referentnu stranicu ––––&gt;</t>
  </si>
  <si>
    <t>NE</t>
  </si>
  <si>
    <t>U ___________________________________ dana _________________ 20____ godine.</t>
  </si>
  <si>
    <t>Ostale djelatnosti socijalne skrbi sa smještajem</t>
  </si>
  <si>
    <t>Djelatnosti socijalne skrbi bez smještaja za starije osobe i osobe s invaliditetom</t>
  </si>
  <si>
    <t>Obrazac PR-RAS
VP 151</t>
  </si>
  <si>
    <r>
      <t>Obrazac BIL</t>
    </r>
    <r>
      <rPr>
        <b/>
        <sz val="11"/>
        <color indexed="9"/>
        <rFont val="Arial"/>
        <family val="2"/>
        <charset val="238"/>
      </rPr>
      <t xml:space="preserve">
</t>
    </r>
    <r>
      <rPr>
        <b/>
        <sz val="10"/>
        <color indexed="9"/>
        <rFont val="Arial"/>
        <family val="2"/>
        <charset val="238"/>
      </rPr>
      <t>VP 158</t>
    </r>
  </si>
  <si>
    <t>Dani zajmovi gradskim proračunima - dugoročni</t>
  </si>
  <si>
    <t>51741</t>
  </si>
  <si>
    <t>Dani zajmovi općinskim proračunima - kratkoročni</t>
  </si>
  <si>
    <t>51742</t>
  </si>
  <si>
    <t>Dani zajmovi općinskim proračunima - dugoročni</t>
  </si>
  <si>
    <t>51751</t>
  </si>
  <si>
    <t>Dani zajmovi HZMO-u, HZZ-u i HZZO-u - kratkoročni</t>
  </si>
  <si>
    <t>51752</t>
  </si>
  <si>
    <t>Dani zajmovi HZMO-u, HZZ-u i HZZO-u - dugoročni</t>
  </si>
  <si>
    <t>51761</t>
  </si>
  <si>
    <t>Dani zajmovi ostalim izvanproračunskim korisnicima državnog proračuna - kratkoročni</t>
  </si>
  <si>
    <t>51762</t>
  </si>
  <si>
    <t>Dani zajmovi ostalim izvanproračunskim korisnicima državnog proračuna - dugoročni</t>
  </si>
  <si>
    <t>51771</t>
  </si>
  <si>
    <t>Dani zajmovi izvanproračunskim korisnicima županijskih, gradskih i općinskih proračuna - kratkoročni</t>
  </si>
  <si>
    <t>51772</t>
  </si>
  <si>
    <t>Dani zajmovi izvanproračunskim korisnicima županijskih, gradskih i općinskih proračuna - dugoročni</t>
  </si>
  <si>
    <t>54131</t>
  </si>
  <si>
    <t>Otplata glavnice primljenih zajmova od međunarodnih organizacija - kratkoročnih</t>
  </si>
  <si>
    <t>54132</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</si>
  <si>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</si>
  <si>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</si>
  <si>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</si>
  <si>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</si>
  <si>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</si>
  <si>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</si>
  <si>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</si>
  <si>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Vrijednost svih AOP pozicija moraju biti pozitivni brojevi osim AOP-a 205 i 206 koji mogu biti i negativni. Ako ova kontrola nije zadovoljena upisali ste negdje negativan iznos gdje on nije dopušten.</t>
  </si>
  <si>
    <t>Vrijednost svih AOP pozicija moraju biti zaokružene, cjelobrojne vrijednosti, ako neka vrijednost nije zaokružena, već upisana u decimalama, kontrola nije zadovoljena, takav obrazac je neispravan</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</si>
  <si>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</si>
  <si>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</si>
  <si>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</si>
  <si>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</si>
  <si>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</si>
  <si>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</si>
  <si>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</si>
  <si>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</si>
  <si>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</si>
  <si>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</si>
  <si>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</si>
  <si>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Primljeni zajmovi od trgovačkih društava i obrtnika izvan javnog sektora (AOP 466 do 469)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</si>
  <si>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</si>
  <si>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</si>
  <si>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</si>
  <si>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</si>
  <si>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471 do 476)</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</si>
  <si>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</si>
  <si>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</si>
  <si>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</si>
  <si>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</si>
  <si>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</si>
  <si>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t>
  </si>
  <si>
    <t>Primici od prodaje vrijednosnih papira iz portfelja (AOP 478+481+484+487)</t>
  </si>
  <si>
    <t>Primici za komercijalne i blagajničke zapise (AOP 479+480)</t>
  </si>
  <si>
    <t>Komercijalni i blagajnički zapisi – tuzemni</t>
  </si>
  <si>
    <t>Komercijalni i blagajnički zapisi – inozemni</t>
  </si>
  <si>
    <t>Primici za obveznice (AOP 482+483)</t>
  </si>
  <si>
    <t>Obveznice – tuzemne</t>
  </si>
  <si>
    <t>Obveznice – inozemne</t>
  </si>
  <si>
    <t>Primici za opcije i druge financijske derivate (AOP 485+486)</t>
  </si>
  <si>
    <t>Opcije i drugi financijski derivati – tuzemni</t>
  </si>
  <si>
    <t>Primljeni zajmovi od HZMO-a, HZZ-a i HZZO-a - kratkoročni</t>
  </si>
  <si>
    <t>Svi iznosi moraju biti zaokružene cjelobrojne vrijednosti, ako neki iznos nije zaokružena cjelobrojna vrijednost ova kontrola nije zadovoljena. Takav obrazac je neispravan.</t>
  </si>
  <si>
    <t>IZVJEŠTAJ O OBVEZAMA</t>
  </si>
  <si>
    <t>261,2646,2647, 2648,2655,2656</t>
  </si>
  <si>
    <t>Ako je iznos na AOP-u 461 veći od nule, a iznos na AOP-u 778 (primljeni zajmovi od ostalih tuzemnih financijskih institucija izvan javnog sektora - dugoročni) je jednak nuli, provjerite AOP 778. Ako je njegov iznos stvarno toliki, zanemarite ovu kontrolu.</t>
  </si>
  <si>
    <t>Ako je iznos na AOP-u 463 veći od nule, a iznos na AOP-u 781 (primljeni zajmovi od inozemnih osiguravajućih društava - dugoročni) je jednak nuli, provjerite AOP 781. Ako je njegov iznos stvarno toliki, zanemarite ovu kontrolu.</t>
  </si>
  <si>
    <t>Ako je iznos na AOP-u 464 veći od nule, a iznos na AOP-u 782 (primljeni zajmovi od ostalih inozemnih financijskih institucija - dugoročni) je jednak nuli, provjerite AOP 782. Ako je njegov iznos stvarno toliki, zanemarite ovu kontrolu.</t>
  </si>
  <si>
    <t>Ako je iznos na AOP-u 466 veći od nule, a iznos na AOP-u 783 (primljeni zajmovi od tuzemnih trgovačkih društava izvan javnog sektora - dugoročni) je jednak nuli, provjerite AOP 783. Ako je njegov iznos stvarno toliki, zanemarite ovu kontrolu.</t>
  </si>
  <si>
    <t>Ako je iznos na AOP-u 467 veći od nule, a iznos na AOP-u 784 (primljeni zajmovi od tuzemnih obrtnika - dugoročni) je jednak nuli, provjerite AOP 784. Ako je njegov iznos stvarno toliki, zanemarite ovu kontrolu.</t>
  </si>
  <si>
    <t>Ako je iznos na AOP-u 468 veći od nule, a iznos na AOP-u 785 (primljeni zajmovi od inozemnih trgovačkih društava - dugoročni) je jednak nuli, provjerite AOP 785. Ako je njegov iznos stvarno toliki, zanemarite ovu kontrolu.</t>
  </si>
  <si>
    <t>Ako je iznos na AOP-u 488 veći od nule, a iznos na AOP-u 798 (ostali tuzemni vrijednosni papiri - dugoročni) je jednak nuli, provjerite AOP 798. Ako je njegov iznos stvarno toliki, zanemarite ovu kontrolu.</t>
  </si>
  <si>
    <t>Ako je iznos na AOP-u 498 veći od nule, a iznos na AOP-u 800 (dani zajmovi neprofitnim organizacijama, građanima i kućanstvima u tuzemstvu - dugoročni) je jednak nuli, provjerite AOP 800. Ako je njegov iznos stvarno toliki, zanemarite ovu kontrolu.</t>
  </si>
  <si>
    <t xml:space="preserve">Izdaci za dane zajmove neprofitnim organizacijama, građanima i kućanstvima (AOP 498+499) </t>
  </si>
  <si>
    <t>Dani zajmovi kreditnim institucijama u javnom sektoru</t>
  </si>
  <si>
    <t>Dani zajmovi osiguravajućim društvima u javnom sektoru</t>
  </si>
  <si>
    <t>Dani zajmovi ostalim financijskim institucijama u javnom sektoru</t>
  </si>
  <si>
    <t>Izdaci za dane zajmove trgovačkim društvima u javnom sektoru (AOP 505)</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</si>
  <si>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</si>
  <si>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</si>
  <si>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</si>
  <si>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</si>
  <si>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</si>
  <si>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</si>
  <si>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514 do 517)</t>
  </si>
  <si>
    <t>Dani zajmovi tuzemnim trgovačkim društvima izvan javnog sektora</t>
  </si>
  <si>
    <t>Dani zajmovi tuzemnim obrtnicima</t>
  </si>
  <si>
    <t>Dani zajmovi inozemnim trgovačkim društvima</t>
  </si>
  <si>
    <t>Dani zajmovi inozemnim obrtnicima</t>
  </si>
  <si>
    <t>Dani zajmovi drugim razinama vlasti (AOP 519 do 525)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</si>
  <si>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</si>
  <si>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</si>
  <si>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</si>
  <si>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</si>
  <si>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</si>
  <si>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</si>
  <si>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</si>
  <si>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Izdaci za ulaganja u vrijednosne papire (AOP 527+530+533+536)</t>
  </si>
  <si>
    <t>Izdaci za komercijalne i blagajničke zapise (AOP 528+529)</t>
  </si>
  <si>
    <t>Izdaci za obveznice (AOP 531+532)</t>
  </si>
  <si>
    <t xml:space="preserve">Izdaci za opcije i druge financijske derivate (AOP 534+535) </t>
  </si>
  <si>
    <t>Izdaci za ostale vrijednosne papire (AOP 537+538)</t>
  </si>
  <si>
    <r>
      <t xml:space="preserve">Razina </t>
    </r>
    <r>
      <rPr>
        <b/>
        <sz val="8"/>
        <color indexed="56"/>
        <rFont val="Arial"/>
        <family val="2"/>
        <charset val="238"/>
      </rPr>
      <t>11 ne smije imati popunjene AOP oznake</t>
    </r>
    <r>
      <rPr>
        <sz val="8"/>
        <color indexed="56"/>
        <rFont val="Arial"/>
        <family val="2"/>
        <charset val="238"/>
      </rPr>
      <t>: 003 do 034, 041 do 046, 121, 185, 219, 220, 388 do 390, 404 do 406, 410, 411, 422, 423, 426 do 429, 432, 442, 445, 447 do 451, 463, 464, 468, 469, 480, 483, 489, 492 do 496, 510 do 512, 516, 517, 529, 532, 537, 538, 548, 551, 553 do 557, 569, 570, 574, 575, 585, 587, 590, 593, 646, 666, 668, 670, 672. Ako je na bilo kojoj od ovih AOP oznaka upisan iznos, a obrazac je razine 11, kontrola javlja grešku i obrazac je neispravan.</t>
    </r>
  </si>
  <si>
    <r>
      <t>Razina</t>
    </r>
    <r>
      <rPr>
        <b/>
        <sz val="8"/>
        <color indexed="56"/>
        <rFont val="Arial"/>
        <family val="2"/>
        <charset val="238"/>
      </rPr>
      <t xml:space="preserve"> 12 ne može imati popunjene AOP oznake:</t>
    </r>
    <r>
      <rPr>
        <sz val="8"/>
        <color indexed="56"/>
        <rFont val="Arial"/>
        <family val="2"/>
        <charset val="238"/>
      </rPr>
      <t xml:space="preserve"> 003 do 034, 121, 388 do 390, 404 do 406, 410, 411, 421 do 423, 426 do 429, 432, 449 do 451, 480, 483, 489, 492 do 496, 510 do 512, 516, 517, 529, 532, 536 do 538, 548, 551, 555 do 557, 585 do 587, 590, 593, 666, 668, 670, 672. Ako je na bilo kojoj od ovih AOP oznaka upisan iznos, a obrazac je razine 12, kontrola javlja grešku i obrazac je neispravan.</t>
    </r>
  </si>
  <si>
    <r>
      <t>Razina</t>
    </r>
    <r>
      <rPr>
        <b/>
        <sz val="8"/>
        <color indexed="56"/>
        <rFont val="Arial"/>
        <family val="2"/>
        <charset val="238"/>
      </rPr>
      <t xml:space="preserve"> 13 ne može imati popunjene AOP oznake</t>
    </r>
    <r>
      <rPr>
        <sz val="8"/>
        <color indexed="56"/>
        <rFont val="Arial"/>
        <family val="2"/>
        <charset val="238"/>
      </rPr>
      <t>: 115 do 118. Ako je na bilo kojoj od ovih AOP oznaka upisan iznos, a obrazac je razine 11, kontrola javlja grešku i obrazac je neispravan.</t>
    </r>
  </si>
  <si>
    <t xml:space="preserve">Tekuće pomoći od ostalih subjekata unutar općeg proračuna </t>
  </si>
  <si>
    <t xml:space="preserve">Kapitalne pomoći od ostalih subjekata unutar općeg proračuna </t>
  </si>
  <si>
    <t>Pomoći izravnanja za decentralizirane funkcije (AOP 065+066)</t>
  </si>
  <si>
    <t>Tekuće pomoći izravnanja za decentralizirane funkcije</t>
  </si>
  <si>
    <t>Kapitalne pomoći izravnanja za decentralizirane funkcije</t>
  </si>
  <si>
    <t>Prihodi od imovine (AOP 068+076+082)</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</si>
  <si>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</si>
  <si>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</si>
  <si>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</si>
  <si>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</si>
  <si>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</si>
  <si>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</si>
  <si>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</si>
  <si>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</si>
  <si>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</si>
  <si>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</si>
  <si>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</si>
  <si>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</si>
  <si>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</si>
  <si>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</si>
  <si>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</si>
  <si>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</si>
  <si>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</si>
  <si>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</si>
  <si>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</si>
  <si>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</si>
  <si>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</si>
  <si>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</si>
  <si>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</si>
  <si>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</si>
  <si>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</si>
  <si>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</si>
  <si>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</si>
  <si>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</si>
  <si>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</si>
  <si>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</si>
  <si>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</si>
  <si>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</si>
  <si>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</si>
  <si>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</si>
  <si>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</si>
  <si>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</si>
  <si>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</si>
  <si>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</si>
  <si>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</si>
  <si>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</si>
  <si>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</si>
  <si>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</si>
  <si>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</si>
  <si>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</si>
  <si>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</si>
  <si>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</si>
  <si>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</si>
  <si>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</si>
  <si>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</si>
  <si>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</si>
  <si>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</si>
  <si>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</si>
  <si>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</si>
  <si>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</si>
  <si>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</si>
  <si>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</si>
  <si>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</si>
  <si>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</si>
  <si>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</si>
  <si>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</si>
  <si>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</si>
  <si>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</si>
  <si>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</si>
  <si>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</si>
  <si>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</si>
  <si>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</si>
  <si>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</si>
  <si>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</si>
  <si>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</si>
  <si>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</si>
  <si>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</si>
  <si>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</si>
  <si>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</si>
  <si>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</si>
  <si>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</si>
  <si>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</si>
  <si>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</si>
  <si>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</si>
  <si>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</si>
  <si>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</si>
  <si>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</si>
  <si>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</si>
  <si>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</si>
  <si>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</si>
  <si>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</si>
  <si>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</si>
  <si>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</si>
  <si>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</si>
  <si>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</si>
  <si>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</si>
  <si>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</si>
  <si>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</si>
  <si>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</si>
  <si>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</si>
  <si>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</si>
  <si>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</si>
  <si>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</si>
  <si>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</si>
  <si>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</si>
  <si>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</si>
  <si>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</si>
  <si>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</si>
  <si>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</si>
  <si>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</si>
  <si>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</si>
  <si>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</si>
  <si>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</si>
  <si>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</si>
  <si>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</si>
  <si>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</si>
  <si>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</si>
  <si>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</si>
  <si>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</si>
  <si>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</si>
  <si>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</si>
  <si>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</si>
  <si>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</si>
  <si>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</si>
  <si>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</si>
  <si>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</si>
  <si>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</si>
  <si>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</si>
  <si>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</si>
  <si>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</si>
  <si>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</si>
  <si>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</si>
  <si>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</si>
  <si>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</si>
  <si>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</si>
  <si>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</si>
  <si>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</si>
  <si>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</si>
  <si>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</si>
  <si>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</si>
  <si>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</si>
  <si>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</si>
  <si>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</si>
  <si>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</si>
  <si>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</si>
  <si>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</si>
  <si>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</si>
  <si>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</si>
  <si>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Proizvodnja ostale pletene i kukičane odjeće</t>
  </si>
  <si>
    <t>Štavljenje i obrada kože; dorada i bojenje krzna</t>
  </si>
  <si>
    <t>Proizvodnja putnih i ručnih torba i slično, sedlarskih i remenarskih proizvoda</t>
  </si>
  <si>
    <t>Primici od zaduživanja</t>
  </si>
  <si>
    <t>Izdaci za dane zajmove</t>
  </si>
  <si>
    <t>Izdaci za dionice i udjele u glavnici</t>
  </si>
  <si>
    <t>Izdaci za otplatu glavnice za izdane vrijednosne papire</t>
  </si>
  <si>
    <t>1 i 2</t>
  </si>
  <si>
    <t>Depoziti</t>
  </si>
  <si>
    <t>Naplaćena potraživanja od zaposlenih</t>
  </si>
  <si>
    <t>Povrati više plaćenih poreza i doprinosa</t>
  </si>
  <si>
    <t>Naplaćena ostala potraživanja</t>
  </si>
  <si>
    <t>Naplaćeni čekovi</t>
  </si>
  <si>
    <t>Naplaćene mjenice</t>
  </si>
  <si>
    <t>Ostali nespomenuti primici</t>
  </si>
  <si>
    <t>Isplate zaposlenima koje nisu izdaci</t>
  </si>
  <si>
    <t>Iskupljeni čekovi</t>
  </si>
  <si>
    <t>Iskupljene mjenice</t>
  </si>
  <si>
    <t>Ostali nespomenuti izdaci</t>
  </si>
  <si>
    <t>M.P.</t>
  </si>
  <si>
    <t>Predujmovi za nabavu proizvedene dugotrajne imovine</t>
  </si>
  <si>
    <t>43</t>
  </si>
  <si>
    <t>438</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</si>
  <si>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</si>
  <si>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</si>
  <si>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</si>
  <si>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</si>
  <si>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</si>
  <si>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</si>
  <si>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</si>
  <si>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</si>
  <si>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</si>
  <si>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</si>
  <si>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</si>
  <si>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</si>
  <si>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</si>
  <si>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</si>
  <si>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</si>
  <si>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</si>
  <si>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</si>
  <si>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</si>
  <si>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</si>
  <si>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</si>
  <si>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</si>
  <si>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</si>
  <si>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</si>
  <si>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</si>
  <si>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</si>
  <si>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</si>
  <si>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</si>
  <si>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</si>
  <si>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</si>
  <si>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</si>
  <si>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</si>
  <si>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</si>
  <si>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</si>
  <si>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</si>
  <si>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</si>
  <si>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</si>
  <si>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</si>
  <si>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</si>
  <si>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</si>
  <si>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</si>
  <si>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</si>
  <si>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</si>
  <si>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</si>
  <si>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</si>
  <si>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</si>
  <si>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</si>
  <si>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</si>
  <si>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</si>
  <si>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</si>
  <si>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</si>
  <si>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</si>
  <si>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</si>
  <si>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</si>
  <si>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</si>
  <si>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</si>
  <si>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</si>
  <si>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</si>
  <si>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</si>
  <si>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</si>
  <si>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</si>
  <si>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 xml:space="preserve">Tekuće pomoći iz proračuna </t>
  </si>
  <si>
    <t xml:space="preserve">Kapitalne pomoći iz proračuna </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</si>
  <si>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</si>
  <si>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</si>
  <si>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</si>
  <si>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</si>
  <si>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</si>
  <si>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</si>
  <si>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</si>
  <si>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</si>
  <si>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</si>
  <si>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</si>
  <si>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</si>
  <si>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</si>
  <si>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</si>
  <si>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</si>
  <si>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</si>
  <si>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</si>
  <si>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</si>
  <si>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</si>
  <si>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Vrijednost ostvarenih investicija u dugotrajnu imovinu</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</si>
  <si>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</si>
  <si>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</si>
  <si>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</si>
  <si>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</si>
  <si>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</si>
  <si>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</si>
  <si>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</si>
  <si>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452</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</si>
  <si>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</si>
  <si>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</si>
  <si>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</si>
  <si>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</si>
  <si>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</si>
  <si>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</si>
  <si>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</si>
  <si>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</si>
  <si>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</si>
  <si>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</si>
  <si>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</si>
  <si>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</si>
  <si>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</si>
  <si>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</si>
  <si>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</si>
  <si>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</si>
  <si>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</si>
  <si>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</si>
  <si>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</si>
  <si>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</si>
  <si>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</si>
  <si>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3431</t>
  </si>
  <si>
    <t>Otplata glavnice primljenih zajmova od međunarodnih organizacija</t>
  </si>
  <si>
    <r>
      <t xml:space="preserve">Razine </t>
    </r>
    <r>
      <rPr>
        <b/>
        <sz val="8"/>
        <color indexed="56"/>
        <rFont val="Arial"/>
        <family val="2"/>
        <charset val="238"/>
      </rPr>
      <t xml:space="preserve">22 i 23 ne mogu imati popunjene AOP oznake: </t>
    </r>
    <r>
      <rPr>
        <sz val="8"/>
        <color indexed="56"/>
        <rFont val="Arial"/>
        <family val="2"/>
        <charset val="238"/>
      </rPr>
      <t>012 do 017, 021, 025, 027, 032 do 034, 040 do 046, 118, 121, 157, 185, 218 do 220, 301, 302, 359, 360, 386 do 390, 393, 404 do 406, 410, 411, 421 do 423, 426 do 429, 432, 442, 445, 447 do 451, 462 do 464, 468, 469, 480, 483 do 486, 489, 492 do 496, 499, 510 do 512, 516, 517, 529, 532 do 538, 548, 551, 553 do 557, 568 do 570, 574, 575, 585 do 587, 590, 593, 646, 666, 668, 670, 672. Ako je na bilo kojoj od ovih AOP oznaka upisan iznos, a obrazac je razine 22 ili razine 23, kontrola javlja grešku i obrazac je neispravan.</t>
    </r>
  </si>
  <si>
    <r>
      <t xml:space="preserve">Razina </t>
    </r>
    <r>
      <rPr>
        <b/>
        <sz val="8"/>
        <color indexed="56"/>
        <rFont val="Arial"/>
        <family val="2"/>
        <charset val="238"/>
      </rPr>
      <t xml:space="preserve">41 ne može imati popunjene AOP oznake: </t>
    </r>
    <r>
      <rPr>
        <sz val="8"/>
        <color indexed="56"/>
        <rFont val="Arial"/>
        <family val="2"/>
        <charset val="238"/>
      </rPr>
      <t>003 do 034, 121, 157, 302, 360, 386 do 390, 393, 404 do 406, 410, 411, 421 do 423, 426 do 429, 449 do 451, 480, 483 do 486, 489, 492 do 496, 499, 510 do 512, 516, 517, 529, 532 do 538, 548, 551, 555 do 557, 585 do 587, 590, 593, 666, 668, 670, 672. Ako je na bilo kojoj od ovih AOP oznaka upisan iznos, a obrazac je razine 41, kontrola javlja grešku i obrazac je neispravan.</t>
    </r>
  </si>
  <si>
    <t>Kapitalne pomoći međunarodnim organizacijama te institucijama i tijelima EU</t>
  </si>
  <si>
    <t>Ako je iznos na AOP-u 190 veći od nule, a iznosi na AOP-u 686 (kamate za primljene zajmove od tuzemnih trgovačkih društava izvan javnog sektora), AOP-u 687 (kamate za primljene zajmove od tuzemnih obrtnika) i na AOP-u 688 (kamate za primljene zajmove od inozemnih trgovačkih društava) su jednaki nuli, provjerite AOP-e 686, 687 i 688. Ako su njihovi iznosi stvarno toliki, zanemarite ovu kontrolu.</t>
  </si>
  <si>
    <t>Ako je iznos na AOP-u 196 veći od nule, a iznos na AOP-u 696 (diskont na izdane vrijednosne papire) je jednak nuli, provjerite AOP 696. Ako je njegov iznos stvarno toliki, zanemarite ovu kontrolu.</t>
  </si>
  <si>
    <t>Ako je iznos na AOP-u 222 veći od nule, a iznosi na AOP-u 717 (stipendije i školarine) i na AOP-u 718 (naknade za pomoć bivšim političkim zatvorenicima i neosnovano pritvorenim osobama) su jednaki nuli, provjerite AOP-e 717 i 718. Ako su njihovi iznosi stvarno toliki, zanemarite ovu kontrolu.</t>
  </si>
  <si>
    <t>Ako je iznos na AOP-u 223 veći od nule, a iznos na AOP-u 719 (sufinanciranje cijene prijevoza) je jednak nuli, provjerite AOP 719. Ako je njegov iznos stvarno toliki, zanemarite ovu kontrolu.</t>
  </si>
  <si>
    <t>Ako je iznos na AOP-u 226 veći od nule, a iznos na AOP-u 720 (tekuće donacije građanima i kućanstvima) je jednak nuli, provjerite AOP 720. Ako je njegov iznos stvarno toliki, zanemarite ovu kontrolu.</t>
  </si>
  <si>
    <t xml:space="preserve">Stanje zaliha proizvodnje i gotovih proizvoda na kraju razdoblja </t>
  </si>
  <si>
    <t>Ekonomska pomoć usmjerena preko međunarodnih agencija</t>
  </si>
  <si>
    <t>013</t>
  </si>
  <si>
    <t>0131</t>
  </si>
  <si>
    <t>Ako je bilo tko od njih i nema NT i nema Obveze, nula, u suprotnom 1</t>
  </si>
  <si>
    <t>Ako je nije netko od njih i ima NT i Obveze, nula, u suprotnom 1</t>
  </si>
  <si>
    <t>Pogreški</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</si>
  <si>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</si>
  <si>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</si>
  <si>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</si>
  <si>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</si>
  <si>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</si>
  <si>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</si>
  <si>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</si>
  <si>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</si>
  <si>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</si>
  <si>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</si>
  <si>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</si>
  <si>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</si>
  <si>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</si>
  <si>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</si>
  <si>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</si>
  <si>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</si>
  <si>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</si>
  <si>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</si>
  <si>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</si>
  <si>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</si>
  <si>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</si>
  <si>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</si>
  <si>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</si>
  <si>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</si>
  <si>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</si>
  <si>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</si>
  <si>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</si>
  <si>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</si>
  <si>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</si>
  <si>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Ako je AOP oznaka 047 popunjena, barem jedna od AOP oznaka 048 do 063 mora biti popunjena. Iznimno, ako su na kontu 32 (AOP oznaka 047) prikazani samo rashodi koji nisu spomenuti u razradi na AOP oznakama 048 do 057, sve ove AOP oznake sve mogu biti nula.</t>
  </si>
  <si>
    <t>Obveze (VP 159 i 160)</t>
  </si>
  <si>
    <t>Obveze za zajmove od izvanproračunskih korisnika županijskih, gradskih i općinskih proračuna - kratkoročne</t>
  </si>
  <si>
    <t>Obveze za zajmove od izvanproračunskih korisnika županijskih, gradskih i općinskih proračuna - dugoročne</t>
  </si>
  <si>
    <t xml:space="preserve">Dionice i udjeli u glavnici trgovačkih društava izvan javnog sektora (AOP 550+551) </t>
  </si>
  <si>
    <t>Primljeni zajmovi od tuzemnih obrtnika - dugoročni</t>
  </si>
  <si>
    <t>Otplata glavnice primljenih zajmova od tuzemnih obrtnika – dugoročnih</t>
  </si>
  <si>
    <r>
      <t>11-</t>
    </r>
    <r>
      <rPr>
        <sz val="7"/>
        <rFont val="Arial"/>
        <family val="2"/>
        <charset val="238"/>
      </rPr>
      <t>potraž.</t>
    </r>
  </si>
  <si>
    <r>
      <t>11-</t>
    </r>
    <r>
      <rPr>
        <sz val="7"/>
        <rFont val="Arial"/>
        <family val="2"/>
        <charset val="238"/>
      </rPr>
      <t>dugov.</t>
    </r>
  </si>
  <si>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</si>
  <si>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</si>
  <si>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</si>
  <si>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</si>
  <si>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</si>
  <si>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</si>
  <si>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</si>
  <si>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</si>
  <si>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r>
      <t xml:space="preserve">Razina </t>
    </r>
    <r>
      <rPr>
        <b/>
        <sz val="8"/>
        <color indexed="56"/>
        <rFont val="Arial"/>
        <family val="2"/>
        <charset val="238"/>
      </rPr>
      <t xml:space="preserve">21 ne može imati popunjene AOP oznake: </t>
    </r>
    <r>
      <rPr>
        <sz val="8"/>
        <color indexed="56"/>
        <rFont val="Arial"/>
        <family val="2"/>
        <charset val="238"/>
      </rPr>
      <t>003 do 034, 040 do 046, 121, 157, 185, 206 do 211, 218 do 220, 301, 302, 360, 386 do 390, 393, 404 do 406, 410, 411, 421 do 423, 426 do 429, 432, 442, 445, 447 do 451, 462 do 464, 468, 469, 480, 483 do 486, 489, 492 do 496, 499, 510 do 512, 516, 517, 529, 532, 533 do 538, 548, 551, 553 do 557, 568 do 570, 574, 575, 585 do 587, 590, 593, 646, 666, 668, 670, 672. Ako je na bilo kojoj od ovih AOP oznaka upisan iznos, a obrazac je razine 21, kontrola javlja grešku i obrazac je neispravan.</t>
    </r>
  </si>
  <si>
    <t>AOP 828 je samo dio AOP-a 555 i mora biti manji ili jednak njemu u oba stupca podataka</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</si>
  <si>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</si>
  <si>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</si>
  <si>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</si>
  <si>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</si>
  <si>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</si>
  <si>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</si>
  <si>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</si>
  <si>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</si>
  <si>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</si>
  <si>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</si>
  <si>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</si>
  <si>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</si>
  <si>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</si>
  <si>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</si>
  <si>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</si>
  <si>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</si>
  <si>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</si>
  <si>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</si>
  <si>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</si>
  <si>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</si>
  <si>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</si>
  <si>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</si>
  <si>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</si>
  <si>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</si>
  <si>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</si>
  <si>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</si>
  <si>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</si>
  <si>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</si>
  <si>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</si>
  <si>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</si>
  <si>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</si>
  <si>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</si>
  <si>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</si>
  <si>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</si>
  <si>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</si>
  <si>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</si>
  <si>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</si>
  <si>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</si>
  <si>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</si>
  <si>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</si>
  <si>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</si>
  <si>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</si>
  <si>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</si>
  <si>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65</t>
  </si>
  <si>
    <t>Državne upravne i sudske pristojbe</t>
  </si>
  <si>
    <t>RAZD</t>
  </si>
  <si>
    <t xml:space="preserve">Rashodi za zaposlene </t>
  </si>
  <si>
    <t xml:space="preserve">Materijalni rashodi </t>
  </si>
  <si>
    <t xml:space="preserve">Financijski rashodi </t>
  </si>
  <si>
    <t xml:space="preserve">Subvencije </t>
  </si>
  <si>
    <t xml:space="preserve">Naknade građanima i kućanstvima na temelju osiguranja i druge naknade </t>
  </si>
  <si>
    <t xml:space="preserve">Ostali rashodi </t>
  </si>
  <si>
    <t>1 mjesec</t>
  </si>
  <si>
    <t>3 i 9 mjesec</t>
  </si>
  <si>
    <t>6. mjesec</t>
  </si>
  <si>
    <t>12. mjeseci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</si>
  <si>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</si>
  <si>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</si>
  <si>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</si>
  <si>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</si>
  <si>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</si>
  <si>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</si>
  <si>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</si>
  <si>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</si>
  <si>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</si>
  <si>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</si>
  <si>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r>
      <t xml:space="preserve">Razina </t>
    </r>
    <r>
      <rPr>
        <b/>
        <sz val="8"/>
        <color indexed="56"/>
        <rFont val="Arial"/>
        <family val="2"/>
        <charset val="238"/>
      </rPr>
      <t xml:space="preserve">31 ne može imati popunjene AOP oznake: </t>
    </r>
    <r>
      <rPr>
        <sz val="8"/>
        <color indexed="56"/>
        <rFont val="Arial"/>
        <family val="2"/>
        <charset val="238"/>
      </rPr>
      <t>003 do 034, 040 do 046, 121, 157, 185, 206 do 211, 218 do 220, 302, 360, 386 do 390, 393, 404 do 406, 410, 411, 421 do 423, 426 do 429, 432, 442, 445, 447 do 451, 462 do 464, 468, 469, 480, 483 do 486, 489, 492 do 496, 499, 510 do 512, 516, 517, 529, 532 do 538, 548, 551, 553 do 557, 574, 575, 585 do 587, 590, 593, 646, 666, 668, 670, 672. Ako je na bilo kojoj od ovih AOP oznaka upisan iznos, a obrazac je razine 31, kontrola javlja grešku i obrazac je neispravan.</t>
    </r>
  </si>
  <si>
    <t>3.0.5.</t>
  </si>
  <si>
    <t>Ako je iznos na AOP-u 507 veći od nule, a iznos na AOP-u 806 (dani zajmovi tuzemnim kreditnim institucijama izvan javnog sektora) je jednak nuli, provjerite AOP 806. Ako je njegov iznos stvarno toliki, zanemarite ovu kontrolu.</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</si>
  <si>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</si>
  <si>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</si>
  <si>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</si>
  <si>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</si>
  <si>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</si>
  <si>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</si>
  <si>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Vrijednost svake AOP oznake koja nije sumarna može imati upisan samo iznos povećanja ili iznos smanjenja (ne mogu oba stupca biti popunjena istovremeno). Ako je neka AOP oznaka popunjena u oba stupca, obrazac je u grešci.</t>
  </si>
  <si>
    <t>Na godišnjoj razini postoji kontrola koja povezuje neke AOP pozicije obrasca PR-RAS i obrasca NT. Ova kontrola vrijedi za razine 22 i 41. Kontrola zahtijeva da AOP oznaka 229 u obrascu NT mora biti jednaka AOP oznaci 610 u obrascu PR-RAS (stupac ostvareno tekuće godine). Pri tome je zbog zaokruživanja vrijednosti u jednom i drugom obrascu dozvoljeno odstupanje od najviše 1.</t>
  </si>
  <si>
    <t>2014-01</t>
  </si>
  <si>
    <t>za razdoblje 1. do 31. siječnja 2014. godine</t>
  </si>
  <si>
    <t>2014-02</t>
  </si>
  <si>
    <t>za razdoblje 1. do 28. veljače 2014. godine</t>
  </si>
  <si>
    <t>2014-03</t>
  </si>
  <si>
    <t>za razdoblje 1. do 31. ožujka 2014. godine</t>
  </si>
  <si>
    <t>za razdoblje 1. siječnja do 31. ožujka 2014. godine</t>
  </si>
  <si>
    <t>2014-04</t>
  </si>
  <si>
    <t>za razdoblje 1. do 30. travnja 2014. godine</t>
  </si>
  <si>
    <t>2014-05</t>
  </si>
  <si>
    <t>za razdoblje 1. do 31. svibnja 2014. godine</t>
  </si>
  <si>
    <t>2014-06</t>
  </si>
  <si>
    <t>za razdoblje 1. do 30. lipnja 2014. godine</t>
  </si>
  <si>
    <t>za razdoblje 1. travnja do 30. lipnja 2014. godine</t>
  </si>
  <si>
    <t>za razdoblje 1. siječnja  do 30. lipnja 2014. godine</t>
  </si>
  <si>
    <t>2014-07</t>
  </si>
  <si>
    <t>za razdoblje 1. do 31. srpnja 2014. godine</t>
  </si>
  <si>
    <t>2014-08</t>
  </si>
  <si>
    <t>za razdoblje 1. do 31. kolovoza 2014. godine</t>
  </si>
  <si>
    <t>2014-09</t>
  </si>
  <si>
    <t>za razdoblje 1. do 30. rujna 2014. godine</t>
  </si>
  <si>
    <t>za razdoblje 1. srpnja do 30. rujna 2014. godine</t>
  </si>
  <si>
    <t>za razdoblje 1. siječnja do 30. rujna 2014. godine</t>
  </si>
  <si>
    <t>2014-10</t>
  </si>
  <si>
    <t>za razdoblje 1. do 31. listopada 2014. godine</t>
  </si>
  <si>
    <t>2014-11</t>
  </si>
  <si>
    <t>za razdoblje 1. do 30. studenoga 2014. godine</t>
  </si>
  <si>
    <t>2014-12</t>
  </si>
  <si>
    <t>za razdoblje 1. do 31. prosinca 2014. godine</t>
  </si>
  <si>
    <t>za razdoblje 1. listopada do 31. prosinca 2014. godine</t>
  </si>
  <si>
    <t>za razdoblje 1. siječnja do 31. prosinca 2014. godine</t>
  </si>
  <si>
    <t>stanje na dan 31. prosinca 2014. godine</t>
  </si>
  <si>
    <t>Višak prihoda i primitaka raspoloživ u sljedećem razdoblju (AOP 600+602-601-603)</t>
  </si>
  <si>
    <t>Manjak prihoda i primitaka za pokriće u sljedećem razdoblju (AOP 601+603-600-602)</t>
  </si>
  <si>
    <t>OBVEZNI ANALITIČKI PODACI</t>
  </si>
  <si>
    <t>Stanje novčanih sredstava na početku tromjesečja</t>
  </si>
  <si>
    <t>Stanje novčanih sredstava na kraju tromjesečja (607+608-609)</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</si>
  <si>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</si>
  <si>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</si>
  <si>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</si>
  <si>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</si>
  <si>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</si>
  <si>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</si>
  <si>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</si>
  <si>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</si>
  <si>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</si>
  <si>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Tekuće pomoći od proračunskih korisnika državnog proračuna temeljem prijenosa sredstava EU</t>
  </si>
  <si>
    <t xml:space="preserve">Primici (povrati) glavnice zajmova danih neprofitnim organizacijama, građanima i kućanstvima (AOP 392+393) </t>
  </si>
  <si>
    <t>Primici (povrati) glavnice zajmova danih kreditnim i ostalim financijskim institucijama u javnom sektoru (AOP 395 do 397)</t>
  </si>
  <si>
    <t>Povrat zajmova danih kreditnim institucijama u javnom sektoru</t>
  </si>
  <si>
    <t>Stanje potraživanja za dane zajmove tuzemnim trgovačkim društvima i obrtnicima te drugim razinama vlasti (AOP 092 do 111)</t>
  </si>
  <si>
    <t>Stanje obveza za primljene zajmove od drugih razina vlasti (AOP 113 do 126)</t>
  </si>
  <si>
    <t>Depoziti, jamčevni polozi i potraživanja od zaposlenih te za više plaćene poreze i ostalo 
(AOP 068 do 072)</t>
  </si>
  <si>
    <t>Stanje obveza na početku izvještajnog razdoblja (=AOP 036 iz prethodnog izvještaja)</t>
  </si>
  <si>
    <t>Obveze za rashode poslovanja (AOP 005 do 011)</t>
  </si>
  <si>
    <t>dio 25,26</t>
  </si>
  <si>
    <t>Obveze za financijsku imovinu (AOP 014 do 018)</t>
  </si>
  <si>
    <t>254</t>
  </si>
  <si>
    <t>256</t>
  </si>
  <si>
    <t>Podmirene obveze u izvještajnom razdoblju (AOP 020+021+029+030)</t>
  </si>
  <si>
    <t>Obveze za rashode poslovanja (AOP 022 do 028)</t>
  </si>
  <si>
    <t>Obveze za financijsku imovinu (AOP 031 do 035)</t>
  </si>
  <si>
    <t>Stanje obveza na kraju izvještajnog razdoblja (AOP 001+002-019) i (AOP 037+090)</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</si>
  <si>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</si>
  <si>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</si>
  <si>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</si>
  <si>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</si>
  <si>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</si>
  <si>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</si>
  <si>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temeljem sredstava pomoći EU (AOP 065 do 068)</t>
  </si>
  <si>
    <t>Obveze za naknade građanima i kućanstvima (AOP 070 do 073)</t>
  </si>
  <si>
    <t>Obveze za nabavu nefinancijske imovine (AOP 080 do 083)</t>
  </si>
  <si>
    <t>Obveze za financijsku imovinu (AOP 085 do 089)</t>
  </si>
  <si>
    <t>Stanje nedospjelih obveza na kraju izvještajnog razdoblja (AOP 091 do 094)</t>
  </si>
  <si>
    <t>Proizvodnja šupljeg stakla</t>
  </si>
  <si>
    <t>Proizvodnja staklenih vlakana</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</si>
  <si>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</si>
  <si>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</si>
  <si>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</si>
  <si>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</si>
  <si>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</si>
  <si>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</si>
  <si>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</si>
  <si>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</si>
  <si>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</si>
  <si>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</si>
  <si>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</si>
  <si>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</si>
  <si>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</si>
  <si>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</si>
  <si>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</si>
  <si>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</si>
  <si>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</si>
  <si>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Sitni inventar (AOP 047+048-049)</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</si>
  <si>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</si>
  <si>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</si>
  <si>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</si>
  <si>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</si>
  <si>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</si>
  <si>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</si>
  <si>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</si>
  <si>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</si>
  <si>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</si>
  <si>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</si>
  <si>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</si>
  <si>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</si>
  <si>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</si>
  <si>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</si>
  <si>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</si>
  <si>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</si>
  <si>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</si>
  <si>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</si>
  <si>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</si>
  <si>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</si>
  <si>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</si>
  <si>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</si>
  <si>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</si>
  <si>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</si>
  <si>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</si>
  <si>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</si>
  <si>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</si>
  <si>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</si>
  <si>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</si>
  <si>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</si>
  <si>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</si>
  <si>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OPĆINA SOKOLOVAC</t>
  </si>
  <si>
    <t>Trg dr. Bardeka 8</t>
  </si>
  <si>
    <t>05607600712</t>
  </si>
  <si>
    <t>Vlado Bakšaj</t>
  </si>
  <si>
    <t>048838315</t>
  </si>
  <si>
    <t>opcina-sokolovac@kc.t-com.hr</t>
  </si>
  <si>
    <t>Promjene u obujmu obveza (AOP 041 do 044)</t>
  </si>
  <si>
    <t>109</t>
  </si>
  <si>
    <t>IZVJEŠTAJ O RASHODIMA PREMA FUNKCIJSKOJ KLASIFIKACIJI</t>
  </si>
  <si>
    <t>Ostvareno u izvještajnom razdoblju</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</si>
  <si>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</si>
  <si>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</si>
  <si>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</si>
  <si>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</si>
  <si>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</si>
  <si>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</si>
  <si>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</si>
  <si>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</si>
  <si>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</si>
  <si>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</si>
  <si>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</si>
  <si>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</si>
  <si>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</si>
  <si>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</si>
  <si>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</si>
  <si>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</si>
  <si>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</si>
  <si>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</si>
  <si>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</si>
  <si>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</si>
  <si>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</si>
  <si>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</si>
  <si>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</si>
  <si>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</si>
  <si>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</si>
  <si>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</si>
  <si>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</si>
  <si>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</si>
  <si>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</si>
  <si>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</si>
  <si>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</si>
  <si>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</si>
  <si>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</si>
  <si>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</si>
  <si>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</si>
  <si>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</si>
  <si>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</si>
  <si>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</si>
  <si>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</si>
  <si>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</si>
  <si>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</si>
  <si>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</si>
  <si>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</si>
  <si>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</si>
  <si>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</si>
  <si>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</si>
  <si>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</si>
  <si>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</si>
  <si>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</si>
  <si>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</si>
  <si>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</si>
  <si>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</si>
  <si>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PRIMICI POSLOVANJA (AOP 002 do 009)</t>
  </si>
  <si>
    <t>Pomoći iz inozemstva (darovnice) i od subjekata unutar općeg proračuna</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</si>
  <si>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</si>
  <si>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</si>
  <si>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</si>
  <si>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</si>
  <si>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</si>
  <si>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</si>
  <si>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</si>
  <si>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</si>
  <si>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</si>
  <si>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</si>
  <si>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</si>
  <si>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</si>
  <si>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</si>
  <si>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</si>
  <si>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</si>
  <si>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</si>
  <si>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</si>
  <si>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</si>
  <si>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</si>
  <si>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</si>
  <si>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</si>
  <si>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</si>
  <si>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</si>
  <si>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</si>
  <si>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ZAGREBAČKA</t>
  </si>
  <si>
    <t>KRAPINSKO-ZAGORSKA</t>
  </si>
  <si>
    <t>SISAČKO-MOSLAVAČKA</t>
  </si>
  <si>
    <t>KARLOVAČKA</t>
  </si>
  <si>
    <t>Tekuće donacije u novcu</t>
  </si>
  <si>
    <t>Tekuće donacije u naravi</t>
  </si>
  <si>
    <t>382</t>
  </si>
  <si>
    <t>Kapitalne donacije neprofitnim organizacijama</t>
  </si>
  <si>
    <t>Kapitalne donacije građanima i kućanstvima</t>
  </si>
  <si>
    <t>Naknade štete pravnim i fizičkim osobama</t>
  </si>
  <si>
    <t>Penali, ležarine i drugo</t>
  </si>
  <si>
    <t>Prijevozna sredstva u pomorskom i riječnom prometu</t>
  </si>
  <si>
    <t>4211</t>
  </si>
  <si>
    <t>4212</t>
  </si>
  <si>
    <t>4213</t>
  </si>
  <si>
    <t>4214</t>
  </si>
  <si>
    <t>422</t>
  </si>
  <si>
    <t>Komunikacijska oprema</t>
  </si>
  <si>
    <t>423</t>
  </si>
  <si>
    <t>424</t>
  </si>
  <si>
    <t>425</t>
  </si>
  <si>
    <t xml:space="preserve">Višegodišnji nasadi </t>
  </si>
  <si>
    <t>426</t>
  </si>
  <si>
    <t>Trgovina na veliko računalima, perifernom opremom i softverom</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</si>
  <si>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</si>
  <si>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</si>
  <si>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</si>
  <si>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</si>
  <si>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</si>
  <si>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</si>
  <si>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</si>
  <si>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</si>
  <si>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</si>
  <si>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</si>
  <si>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</si>
  <si>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</si>
  <si>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</si>
  <si>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</si>
  <si>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</si>
  <si>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</si>
  <si>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</si>
  <si>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r>
      <t xml:space="preserve">Na listu Kontrole nakon unosa možete provjeriti jesu li zadovoljene neke osnovne kontrole na podacima. Ako neke kontrole nisu zadovoljene, pojavit će se tekst </t>
    </r>
    <r>
      <rPr>
        <b/>
        <sz val="8"/>
        <rFont val="Arial"/>
        <family val="2"/>
        <charset val="238"/>
      </rPr>
      <t>"Nije zadovoljena"</t>
    </r>
    <r>
      <rPr>
        <sz val="8"/>
        <rFont val="Arial"/>
        <family val="2"/>
        <charset val="238"/>
      </rPr>
      <t xml:space="preserve"> pored opisa što ta kontrola provjerava. Nezadovoljena kontrola može značiti krivi podatak ili samo upozorenje da provjerite podatak. Ako je upozorenje provjerite koje AOP-e kontrola provjerava a ako je pogreška u podacima, ispravite vrijednost AOP-a koje kontrola provjerava i napišite ispravne vrijednosti. Sve dok postoji samo jedna kontrola koja nije zadovoljena, a koja mora biti zadovoljena, na naslovnoj strani obrasca biti će poruka </t>
    </r>
    <r>
      <rPr>
        <b/>
        <sz val="8"/>
        <rFont val="Arial"/>
        <family val="2"/>
        <charset val="238"/>
      </rPr>
      <t>"Nisu zadovoljene sve osnovne kontrole, broj kontrola: X"</t>
    </r>
    <r>
      <rPr>
        <sz val="8"/>
        <rFont val="Arial"/>
        <family val="2"/>
        <charset val="238"/>
      </rPr>
      <t xml:space="preserve">, gdje X označava broj svih obveznih kontrola koje još uvijek nisu zadovoljene. </t>
    </r>
  </si>
  <si>
    <t>KLOŠTAR PODRAVSKI</t>
  </si>
  <si>
    <t>KNEŽEVI VINOGRADI</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</si>
  <si>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</si>
  <si>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3</t>
  </si>
  <si>
    <t>31</t>
  </si>
  <si>
    <t>311</t>
  </si>
  <si>
    <t>AOP</t>
  </si>
  <si>
    <t>OPIS</t>
  </si>
  <si>
    <t>Rezultat kontrole</t>
  </si>
  <si>
    <t>Opis dodatne kontrole</t>
  </si>
  <si>
    <t>Naknade građanima i kućanstvima u novcu</t>
  </si>
  <si>
    <t>Naknade građanima i kućanstvima u naravi</t>
  </si>
  <si>
    <t xml:space="preserve">Naknade građanima i kućanstvima u novcu </t>
  </si>
  <si>
    <t>38</t>
  </si>
  <si>
    <t>Dodatna ulaganja za ostalu nefinancijsku imovinu (AOP 369)</t>
  </si>
  <si>
    <t>Predujmovi za dodatna ulaganja na nefinancijskoj imovini (AOP 371)</t>
  </si>
  <si>
    <t xml:space="preserve">VIŠAK PRIHODA OD NEFINANCIJSKE IMOVINE (AOP 251-303) </t>
  </si>
  <si>
    <t>MANJAK PRIHODA OD NEFINANCIJSKE IMOVINE (AOP 303-251)</t>
  </si>
  <si>
    <t>UKUPNI PRIHODI (AOP 001+251)</t>
  </si>
  <si>
    <t>UKUPNI RASHODI (AOP 244+303)</t>
  </si>
  <si>
    <t>UKUPAN VIŠAK PRIHODA (AOP 377-378)</t>
  </si>
  <si>
    <t>UKUPAN MANJAK PRIHODA (AOP 378-377)</t>
  </si>
  <si>
    <t>Višak prihoda - preneseni (AOP 247+374-248-375)</t>
  </si>
  <si>
    <t>DA</t>
  </si>
  <si>
    <t>ANKICA BABUREK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</si>
</sst>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71" x14ac:knownFonts="1">
    <font>
      <sz val="10"/>
      <name val="Arial"/>
      <charset val="238"/>
    </font>
    <font>
      <sz val="10"/>
      <color indexed="8"/>
      <name val="MS Sans Serif"/>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charset val="238"/>
    </font>
    <font>
      <b/>
      <sz val="8"/>
      <color indexed="81"/>
      <name val="Tahoma"/>
      <charset val="238"/>
    </font>
    <font>
      <b/>
      <sz val="10"/>
      <color indexed="12"/>
      <name val="Arial"/>
      <family val="2"/>
      <charset val="238"/>
    </font>
    <font>
      <u/>
      <sz val="10"/>
      <color indexed="12"/>
      <name val="Arial"/>
      <charset val="238"/>
    </font>
    <font>
      <sz val="8"/>
      <name val="Arial"/>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sz val="10"/>
      <color indexed="9"/>
      <name val="Arial"/>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sz val="9"/>
      <color indexed="55"/>
      <name val="Arial"/>
      <family val="2"/>
      <charset val="238"/>
    </font>
    <font>
      <b/>
      <sz val="8"/>
      <color indexed="9"/>
      <name val="Arial CE"/>
      <family val="2"/>
      <charset val="238"/>
    </font>
    <font>
      <sz val="8"/>
      <color indexed="9"/>
      <name val="Arial"/>
      <charset val="238"/>
    </font>
    <font>
      <sz val="7"/>
      <name val="Arial"/>
      <charset val="238"/>
    </font>
    <font>
      <sz val="10"/>
      <color indexed="8"/>
      <name val="Arial CE"/>
      <charset val="238"/>
    </font>
    <font>
      <sz val="10"/>
      <color indexed="8"/>
      <name val="Arial"/>
      <charset val="238"/>
    </font>
    <font>
      <sz val="12"/>
      <color indexed="56"/>
      <name val="Arial"/>
      <family val="2"/>
      <charset val="238"/>
    </font>
    <font>
      <sz val="10"/>
      <name val="Arial CE"/>
      <family val="2"/>
      <charset val="238"/>
    </font>
    <font>
      <b/>
      <sz val="10"/>
      <color indexed="12"/>
      <name val="Arial"/>
      <charset val="238"/>
    </font>
    <font>
      <b/>
      <sz val="10"/>
      <color indexed="13"/>
      <name val="Arial"/>
      <charset val="238"/>
    </font>
    <font>
      <b/>
      <sz val="10"/>
      <color indexed="10"/>
      <name val="Arial"/>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sz val="7"/>
      <name val="Arial"/>
      <family val="2"/>
      <charset val="238"/>
    </font>
    <font>
      <b/>
      <sz val="7"/>
      <name val="Arial"/>
      <family val="2"/>
      <charset val="238"/>
    </font>
    <font>
      <b/>
      <sz val="8"/>
      <name val="Arial CE"/>
      <charset val="238"/>
    </font>
    <font>
      <sz val="7"/>
      <name val="Arial CE"/>
      <charset val="238"/>
    </font>
    <font>
      <sz val="10"/>
      <color indexed="12"/>
      <name val="Arial"/>
      <family val="2"/>
      <charset val="238"/>
    </font>
    <font>
      <sz val="8"/>
      <color indexed="56"/>
      <name val="Arial"/>
      <family val="2"/>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6"/>
        <bgColor indexed="8"/>
      </patternFill>
    </fill>
    <fill>
      <patternFill patternType="solid">
        <fgColor indexed="55"/>
        <bgColor indexed="64"/>
      </patternFill>
    </fill>
    <fill>
      <patternFill patternType="solid">
        <fgColor indexed="43"/>
        <bgColor indexed="64"/>
      </patternFill>
    </fill>
    <fill>
      <patternFill patternType="solid">
        <fgColor indexed="22"/>
        <bgColor indexed="31"/>
      </patternFill>
    </fill>
    <fill>
      <patternFill patternType="solid">
        <fgColor indexed="9"/>
        <bgColor indexed="64"/>
      </patternFill>
    </fill>
    <fill>
      <patternFill patternType="lightGray">
        <fgColor indexed="22"/>
        <bgColor indexed="9"/>
      </patternFill>
    </fill>
    <fill>
      <patternFill patternType="solid">
        <fgColor indexed="27"/>
        <bgColor indexed="64"/>
      </patternFill>
    </fill>
    <fill>
      <patternFill patternType="solid">
        <fgColor indexed="26"/>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26">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55"/>
      </left>
      <right style="thin">
        <color indexed="64"/>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55"/>
      </left>
      <right style="thin">
        <color indexed="64"/>
      </right>
      <top style="hair">
        <color indexed="55"/>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55"/>
      </left>
      <right style="thin">
        <color indexed="64"/>
      </right>
      <top style="thin">
        <color indexed="64"/>
      </top>
      <bottom style="hair">
        <color indexed="55"/>
      </bottom>
      <diagonal/>
    </border>
    <border>
      <left style="thin">
        <color indexed="64"/>
      </left>
      <right style="thin">
        <color indexed="55"/>
      </right>
      <top style="hair">
        <color indexed="55"/>
      </top>
      <bottom/>
      <diagonal/>
    </border>
    <border>
      <left style="thin">
        <color indexed="55"/>
      </left>
      <right style="thin">
        <color indexed="55"/>
      </right>
      <top style="hair">
        <color indexed="55"/>
      </top>
      <bottom/>
      <diagonal/>
    </border>
    <border>
      <left style="thin">
        <color indexed="55"/>
      </left>
      <right style="thin">
        <color indexed="64"/>
      </right>
      <top style="hair">
        <color indexed="55"/>
      </top>
      <bottom/>
      <diagonal/>
    </border>
    <border>
      <left style="thin">
        <color indexed="64"/>
      </left>
      <right style="thin">
        <color indexed="55"/>
      </right>
      <top/>
      <bottom style="hair">
        <color indexed="55"/>
      </bottom>
      <diagonal/>
    </border>
    <border>
      <left style="thin">
        <color indexed="55"/>
      </left>
      <right style="thin">
        <color indexed="55"/>
      </right>
      <top/>
      <bottom style="hair">
        <color indexed="55"/>
      </bottom>
      <diagonal/>
    </border>
    <border>
      <left style="thin">
        <color indexed="55"/>
      </left>
      <right style="thin">
        <color indexed="64"/>
      </right>
      <top/>
      <bottom style="hair">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8"/>
      </left>
      <right style="thin">
        <color indexed="8"/>
      </right>
      <top/>
      <bottom style="thin">
        <color indexed="8"/>
      </bottom>
      <diagonal/>
    </border>
    <border>
      <left style="thin">
        <color indexed="64"/>
      </left>
      <right style="thin">
        <color indexed="55"/>
      </right>
      <top/>
      <bottom style="hair">
        <color indexed="64"/>
      </bottom>
      <diagonal/>
    </border>
    <border>
      <left style="thin">
        <color indexed="55"/>
      </left>
      <right style="thin">
        <color indexed="55"/>
      </right>
      <top/>
      <bottom style="hair">
        <color indexed="64"/>
      </bottom>
      <diagonal/>
    </border>
    <border>
      <left style="thin">
        <color indexed="55"/>
      </left>
      <right style="thin">
        <color indexed="64"/>
      </right>
      <top/>
      <bottom style="hair">
        <color indexed="64"/>
      </bottom>
      <diagonal/>
    </border>
    <border>
      <left style="thin">
        <color indexed="64"/>
      </left>
      <right style="thin">
        <color indexed="55"/>
      </right>
      <top style="hair">
        <color indexed="64"/>
      </top>
      <bottom style="hair">
        <color indexed="64"/>
      </bottom>
      <diagonal/>
    </border>
    <border>
      <left style="thin">
        <color indexed="55"/>
      </left>
      <right style="thin">
        <color indexed="55"/>
      </right>
      <top style="hair">
        <color indexed="64"/>
      </top>
      <bottom style="hair">
        <color indexed="64"/>
      </bottom>
      <diagonal/>
    </border>
    <border>
      <left style="thin">
        <color indexed="55"/>
      </left>
      <right style="thin">
        <color indexed="64"/>
      </right>
      <top style="hair">
        <color indexed="64"/>
      </top>
      <bottom style="hair">
        <color indexed="64"/>
      </bottom>
      <diagonal/>
    </border>
    <border>
      <left style="thin">
        <color indexed="64"/>
      </left>
      <right style="thin">
        <color indexed="55"/>
      </right>
      <top style="hair">
        <color indexed="64"/>
      </top>
      <bottom/>
      <diagonal/>
    </border>
    <border>
      <left style="thin">
        <color indexed="55"/>
      </left>
      <right style="thin">
        <color indexed="55"/>
      </right>
      <top style="hair">
        <color indexed="64"/>
      </top>
      <bottom/>
      <diagonal/>
    </border>
    <border>
      <left style="thin">
        <color indexed="55"/>
      </left>
      <right style="thin">
        <color indexed="64"/>
      </right>
      <top style="hair">
        <color indexed="64"/>
      </top>
      <bottom/>
      <diagonal/>
    </border>
    <border>
      <left style="thin">
        <color indexed="64"/>
      </left>
      <right style="thin">
        <color indexed="55"/>
      </right>
      <top style="hair">
        <color indexed="64"/>
      </top>
      <bottom style="thin">
        <color indexed="64"/>
      </bottom>
      <diagonal/>
    </border>
    <border>
      <left style="thin">
        <color indexed="55"/>
      </left>
      <right style="thin">
        <color indexed="55"/>
      </right>
      <top style="hair">
        <color indexed="64"/>
      </top>
      <bottom style="thin">
        <color indexed="64"/>
      </bottom>
      <diagonal/>
    </border>
    <border>
      <left style="thin">
        <color indexed="55"/>
      </left>
      <right style="thin">
        <color indexed="64"/>
      </right>
      <top style="hair">
        <color indexed="64"/>
      </top>
      <bottom style="thin">
        <color indexed="64"/>
      </bottom>
      <diagonal/>
    </border>
    <border>
      <left style="thin">
        <color indexed="64"/>
      </left>
      <right style="thin">
        <color indexed="22"/>
      </right>
      <top style="thin">
        <color indexed="64"/>
      </top>
      <bottom style="hair">
        <color indexed="22"/>
      </bottom>
      <diagonal/>
    </border>
    <border>
      <left style="thin">
        <color indexed="22"/>
      </left>
      <right style="thin">
        <color indexed="22"/>
      </right>
      <top style="thin">
        <color indexed="64"/>
      </top>
      <bottom style="hair">
        <color indexed="22"/>
      </bottom>
      <diagonal/>
    </border>
    <border>
      <left style="thin">
        <color indexed="22"/>
      </left>
      <right style="thin">
        <color indexed="64"/>
      </right>
      <top style="thin">
        <color indexed="64"/>
      </top>
      <bottom style="hair">
        <color indexed="22"/>
      </bottom>
      <diagonal/>
    </border>
    <border>
      <left style="thin">
        <color indexed="64"/>
      </left>
      <right style="thin">
        <color indexed="22"/>
      </right>
      <top style="hair">
        <color indexed="22"/>
      </top>
      <bottom style="hair">
        <color indexed="22"/>
      </bottom>
      <diagonal/>
    </border>
    <border>
      <left style="thin">
        <color indexed="22"/>
      </left>
      <right style="thin">
        <color indexed="22"/>
      </right>
      <top style="hair">
        <color indexed="22"/>
      </top>
      <bottom style="hair">
        <color indexed="22"/>
      </bottom>
      <diagonal/>
    </border>
    <border>
      <left style="thin">
        <color indexed="22"/>
      </left>
      <right style="thin">
        <color indexed="64"/>
      </right>
      <top style="hair">
        <color indexed="22"/>
      </top>
      <bottom style="hair">
        <color indexed="22"/>
      </bottom>
      <diagonal/>
    </border>
    <border>
      <left style="thin">
        <color indexed="64"/>
      </left>
      <right style="thin">
        <color indexed="22"/>
      </right>
      <top style="hair">
        <color indexed="22"/>
      </top>
      <bottom style="thin">
        <color indexed="64"/>
      </bottom>
      <diagonal/>
    </border>
    <border>
      <left style="thin">
        <color indexed="22"/>
      </left>
      <right style="thin">
        <color indexed="22"/>
      </right>
      <top style="hair">
        <color indexed="22"/>
      </top>
      <bottom style="thin">
        <color indexed="64"/>
      </bottom>
      <diagonal/>
    </border>
    <border>
      <left style="thin">
        <color indexed="22"/>
      </left>
      <right style="thin">
        <color indexed="64"/>
      </right>
      <top style="hair">
        <color indexed="22"/>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9"/>
      </left>
      <right/>
      <top/>
      <bottom/>
      <diagonal/>
    </border>
    <border>
      <left style="thin">
        <color indexed="64"/>
      </left>
      <right style="thin">
        <color indexed="22"/>
      </right>
      <top/>
      <bottom style="hair">
        <color indexed="22"/>
      </bottom>
      <diagonal/>
    </border>
    <border>
      <left style="thin">
        <color indexed="22"/>
      </left>
      <right style="thin">
        <color indexed="22"/>
      </right>
      <top/>
      <bottom style="hair">
        <color indexed="22"/>
      </bottom>
      <diagonal/>
    </border>
    <border>
      <left style="thin">
        <color indexed="22"/>
      </left>
      <right style="thin">
        <color indexed="64"/>
      </right>
      <top/>
      <bottom style="hair">
        <color indexed="2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9"/>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9"/>
      </right>
      <top/>
      <bottom/>
      <diagonal/>
    </border>
    <border>
      <left style="thin">
        <color indexed="9"/>
      </left>
      <right style="thin">
        <color indexed="9"/>
      </right>
      <top/>
      <bottom/>
      <diagonal/>
    </border>
    <border>
      <left style="thin">
        <color indexed="9"/>
      </left>
      <right style="thin">
        <color indexed="9"/>
      </right>
      <top/>
      <bottom style="medium">
        <color indexed="64"/>
      </bottom>
      <diagonal/>
    </border>
    <border>
      <left style="thin">
        <color indexed="9"/>
      </left>
      <right/>
      <top/>
      <bottom style="medium">
        <color indexed="64"/>
      </bottom>
      <diagonal/>
    </border>
    <border>
      <left style="double">
        <color indexed="9"/>
      </left>
      <right/>
      <top/>
      <bottom/>
      <diagonal/>
    </border>
    <border>
      <left/>
      <right/>
      <top/>
      <bottom style="medium">
        <color indexed="64"/>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xf numFmtId="0" fontId="51" fillId="0" borderId="0"/>
    <xf numFmtId="0" fontId="51" fillId="0" borderId="0"/>
  </cellStyleXfs>
  <cellXfs count="642">
    <xf numFmtId="0" fontId="0" fillId="0" borderId="0" xfId="0"/>
    <xf numFmtId="0" fontId="4" fillId="0" borderId="0" xfId="0" applyFont="1" applyFill="1"/>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pplyProtection="1">
      <alignment vertical="center"/>
    </xf>
    <xf numFmtId="0" fontId="0" fillId="0" borderId="0" xfId="0" applyFill="1"/>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4" fillId="0" borderId="2" xfId="0" applyFont="1" applyBorder="1" applyAlignment="1">
      <alignment horizontal="center" vertical="center"/>
    </xf>
    <xf numFmtId="0" fontId="29" fillId="0" borderId="0" xfId="0" applyFont="1" applyAlignment="1" applyProtection="1">
      <alignment horizontal="right" vertical="center"/>
    </xf>
    <xf numFmtId="0" fontId="16" fillId="0" borderId="0" xfId="0" applyFont="1" applyBorder="1" applyAlignment="1">
      <alignment vertical="center"/>
    </xf>
    <xf numFmtId="0" fontId="16" fillId="0" borderId="0" xfId="0" applyFont="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0" fontId="16" fillId="0" borderId="0" xfId="0" applyFont="1" applyFill="1" applyAlignment="1" applyProtection="1">
      <alignment vertical="center"/>
    </xf>
    <xf numFmtId="0" fontId="17" fillId="2" borderId="3" xfId="0" applyFont="1" applyFill="1" applyBorder="1" applyAlignment="1">
      <alignment horizontal="center" vertical="center" wrapText="1"/>
    </xf>
    <xf numFmtId="0" fontId="17" fillId="2" borderId="4" xfId="3" applyFont="1" applyFill="1" applyBorder="1" applyAlignment="1">
      <alignment horizontal="center" vertical="center"/>
    </xf>
    <xf numFmtId="0" fontId="17" fillId="2" borderId="3" xfId="3" applyFont="1" applyFill="1" applyBorder="1" applyAlignment="1">
      <alignment horizontal="center" vertical="center"/>
    </xf>
    <xf numFmtId="0" fontId="17" fillId="2" borderId="5" xfId="3" applyFont="1" applyFill="1" applyBorder="1" applyAlignment="1">
      <alignment horizontal="center" vertical="center"/>
    </xf>
    <xf numFmtId="0" fontId="17" fillId="2" borderId="5" xfId="0" applyFont="1" applyFill="1" applyBorder="1" applyAlignment="1">
      <alignment horizontal="center" vertical="center" wrapText="1"/>
    </xf>
    <xf numFmtId="0" fontId="13" fillId="0" borderId="0" xfId="0" applyFont="1" applyBorder="1" applyAlignment="1">
      <alignment vertical="center"/>
    </xf>
    <xf numFmtId="0" fontId="12"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4" fillId="0" borderId="0" xfId="0" applyFont="1" applyAlignment="1">
      <alignment horizontal="left" vertical="center"/>
    </xf>
    <xf numFmtId="0" fontId="0" fillId="0" borderId="0" xfId="0" applyAlignment="1">
      <alignment horizontal="left" vertical="center"/>
    </xf>
    <xf numFmtId="0" fontId="4" fillId="0" borderId="2" xfId="0" applyFont="1" applyBorder="1" applyAlignment="1" applyProtection="1">
      <alignment horizontal="center" vertical="center"/>
    </xf>
    <xf numFmtId="0" fontId="15" fillId="0" borderId="0" xfId="0" applyFont="1" applyAlignment="1" applyProtection="1">
      <alignment vertical="center"/>
    </xf>
    <xf numFmtId="0" fontId="4" fillId="0" borderId="2" xfId="0" applyFont="1" applyBorder="1" applyAlignment="1">
      <alignment horizontal="center" vertical="center" wrapText="1"/>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7" fillId="0" borderId="0" xfId="0" applyFont="1" applyFill="1" applyAlignment="1">
      <alignment horizontal="right" vertical="center"/>
    </xf>
    <xf numFmtId="3" fontId="26" fillId="0" borderId="7" xfId="0" applyNumberFormat="1" applyFont="1" applyFill="1" applyBorder="1" applyAlignment="1" applyProtection="1">
      <alignment horizontal="right" vertical="center" shrinkToFit="1"/>
      <protection hidden="1"/>
    </xf>
    <xf numFmtId="3" fontId="26" fillId="0" borderId="8" xfId="0" applyNumberFormat="1" applyFont="1" applyFill="1" applyBorder="1" applyAlignment="1" applyProtection="1">
      <alignment horizontal="right" vertical="center" shrinkToFit="1"/>
      <protection hidden="1"/>
    </xf>
    <xf numFmtId="3" fontId="26" fillId="0" borderId="9" xfId="0" applyNumberFormat="1" applyFont="1" applyFill="1" applyBorder="1" applyAlignment="1" applyProtection="1">
      <alignment horizontal="right" vertical="center" shrinkToFit="1"/>
      <protection hidden="1"/>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164" fontId="26" fillId="0" borderId="7" xfId="0" applyNumberFormat="1" applyFont="1" applyFill="1" applyBorder="1" applyAlignment="1" applyProtection="1">
      <alignment horizontal="center" vertical="center"/>
      <protection hidden="1"/>
    </xf>
    <xf numFmtId="164" fontId="26" fillId="0" borderId="8" xfId="0" applyNumberFormat="1" applyFont="1" applyFill="1" applyBorder="1" applyAlignment="1" applyProtection="1">
      <alignment horizontal="center" vertical="center"/>
      <protection hidden="1"/>
    </xf>
    <xf numFmtId="164" fontId="26" fillId="0" borderId="9" xfId="0" applyNumberFormat="1" applyFont="1" applyFill="1" applyBorder="1" applyAlignment="1" applyProtection="1">
      <alignment horizontal="center" vertical="center"/>
      <protection hidden="1"/>
    </xf>
    <xf numFmtId="14" fontId="35" fillId="3" borderId="6" xfId="0" applyNumberFormat="1" applyFont="1" applyFill="1" applyBorder="1" applyAlignment="1" applyProtection="1">
      <alignment horizontal="center" vertical="center"/>
      <protection locked="0"/>
    </xf>
    <xf numFmtId="49" fontId="0" fillId="0" borderId="0" xfId="0" applyNumberFormat="1" applyAlignment="1">
      <alignment horizontal="center" vertical="center" wrapText="1"/>
    </xf>
    <xf numFmtId="49" fontId="0" fillId="0" borderId="0" xfId="0" applyNumberFormat="1"/>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40" fillId="0" borderId="0" xfId="0" applyFont="1" applyFill="1"/>
    <xf numFmtId="0" fontId="40" fillId="0" borderId="0" xfId="0" applyFont="1" applyFill="1" applyBorder="1"/>
    <xf numFmtId="0" fontId="17" fillId="0" borderId="0" xfId="0" applyFont="1" applyAlignment="1" applyProtection="1">
      <alignment vertical="center"/>
      <protection hidden="1"/>
    </xf>
    <xf numFmtId="0" fontId="0" fillId="0" borderId="0" xfId="0" applyAlignment="1" applyProtection="1">
      <alignment horizontal="left" vertical="center"/>
      <protection hidden="1"/>
    </xf>
    <xf numFmtId="4" fontId="3" fillId="0" borderId="0" xfId="0" applyNumberFormat="1"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2" xfId="0" applyFont="1" applyBorder="1" applyAlignment="1" applyProtection="1">
      <alignment horizontal="center" vertical="center"/>
      <protection hidden="1"/>
    </xf>
    <xf numFmtId="0" fontId="4" fillId="0" borderId="0" xfId="5"/>
    <xf numFmtId="0" fontId="14" fillId="5" borderId="11" xfId="6" applyFont="1" applyFill="1" applyBorder="1" applyAlignment="1">
      <alignment horizontal="center" vertical="center" wrapText="1"/>
    </xf>
    <xf numFmtId="0" fontId="14" fillId="5" borderId="12" xfId="6" applyFont="1" applyFill="1" applyBorder="1" applyAlignment="1">
      <alignment horizontal="center" vertical="center" wrapText="1"/>
    </xf>
    <xf numFmtId="0" fontId="4" fillId="0" borderId="0" xfId="6" applyFont="1"/>
    <xf numFmtId="0" fontId="4" fillId="0" borderId="0" xfId="5" applyFont="1" applyFill="1" applyBorder="1" applyAlignment="1">
      <alignment vertical="center"/>
    </xf>
    <xf numFmtId="0" fontId="43" fillId="0" borderId="13" xfId="6" applyFont="1" applyBorder="1" applyAlignment="1">
      <alignment horizontal="center" vertical="center"/>
    </xf>
    <xf numFmtId="0" fontId="43" fillId="0" borderId="14" xfId="6" applyFont="1" applyBorder="1" applyAlignment="1">
      <alignment horizontal="left" vertical="center"/>
    </xf>
    <xf numFmtId="0" fontId="43" fillId="0" borderId="15" xfId="6" applyFont="1" applyBorder="1" applyAlignment="1">
      <alignment horizontal="center" vertical="center"/>
    </xf>
    <xf numFmtId="0" fontId="43" fillId="0" borderId="16" xfId="6" applyFont="1" applyBorder="1" applyAlignment="1">
      <alignment horizontal="left" vertical="center"/>
    </xf>
    <xf numFmtId="0" fontId="44" fillId="0" borderId="15" xfId="6" applyFont="1" applyBorder="1" applyAlignment="1">
      <alignment horizontal="center" vertical="center"/>
    </xf>
    <xf numFmtId="0" fontId="44" fillId="0" borderId="16" xfId="6" applyFont="1" applyBorder="1" applyAlignment="1">
      <alignment horizontal="left" vertical="center"/>
    </xf>
    <xf numFmtId="0" fontId="42" fillId="0" borderId="15" xfId="6" applyFont="1" applyBorder="1" applyAlignment="1">
      <alignment horizontal="right" vertical="center"/>
    </xf>
    <xf numFmtId="0" fontId="42" fillId="0" borderId="16" xfId="6" applyFont="1" applyBorder="1" applyAlignment="1">
      <alignment horizontal="left" vertical="center"/>
    </xf>
    <xf numFmtId="0" fontId="44" fillId="0" borderId="17" xfId="6" applyFont="1" applyBorder="1" applyAlignment="1">
      <alignment horizontal="center" vertical="center"/>
    </xf>
    <xf numFmtId="0" fontId="42" fillId="0" borderId="17" xfId="6" applyFont="1" applyBorder="1" applyAlignment="1">
      <alignment horizontal="right" vertical="center"/>
    </xf>
    <xf numFmtId="0" fontId="42" fillId="0" borderId="18" xfId="6" applyFont="1" applyBorder="1" applyAlignment="1">
      <alignment horizontal="left" vertical="center"/>
    </xf>
    <xf numFmtId="0" fontId="44" fillId="0" borderId="18" xfId="6" applyFont="1" applyBorder="1" applyAlignment="1">
      <alignment horizontal="left" vertical="center"/>
    </xf>
    <xf numFmtId="1" fontId="14" fillId="2" borderId="7" xfId="0" applyNumberFormat="1" applyFont="1" applyFill="1" applyBorder="1" applyAlignment="1">
      <alignment horizontal="center" vertical="center"/>
    </xf>
    <xf numFmtId="1" fontId="14" fillId="2" borderId="8" xfId="0" applyNumberFormat="1" applyFont="1" applyFill="1" applyBorder="1" applyAlignment="1">
      <alignment horizontal="center" vertical="center"/>
    </xf>
    <xf numFmtId="1" fontId="14" fillId="2" borderId="9" xfId="0" applyNumberFormat="1" applyFont="1" applyFill="1" applyBorder="1" applyAlignment="1">
      <alignment horizontal="center" vertical="center"/>
    </xf>
    <xf numFmtId="0" fontId="14" fillId="6" borderId="10" xfId="0" applyFont="1" applyFill="1" applyBorder="1" applyAlignment="1" applyProtection="1">
      <alignment horizontal="center" vertical="center"/>
      <protection hidden="1"/>
    </xf>
    <xf numFmtId="0" fontId="14" fillId="6" borderId="10" xfId="0" applyFont="1" applyFill="1" applyBorder="1" applyAlignment="1" applyProtection="1">
      <alignment horizontal="center" vertical="center" wrapText="1"/>
      <protection hidden="1"/>
    </xf>
    <xf numFmtId="0" fontId="33" fillId="6" borderId="10" xfId="3" applyFont="1" applyFill="1" applyBorder="1" applyAlignment="1" applyProtection="1">
      <alignment horizontal="center" vertical="center" wrapText="1"/>
      <protection hidden="1"/>
    </xf>
    <xf numFmtId="0" fontId="33" fillId="6" borderId="10" xfId="0" applyFont="1" applyFill="1" applyBorder="1" applyAlignment="1" applyProtection="1">
      <alignment horizontal="center" vertical="center" wrapText="1"/>
      <protection hidden="1"/>
    </xf>
    <xf numFmtId="166" fontId="35" fillId="3" borderId="6" xfId="0" applyNumberFormat="1" applyFont="1" applyFill="1" applyBorder="1" applyAlignment="1" applyProtection="1">
      <alignment horizontal="center" vertical="center"/>
      <protection locked="0"/>
    </xf>
    <xf numFmtId="166" fontId="35" fillId="3" borderId="19" xfId="0" applyNumberFormat="1" applyFont="1" applyFill="1" applyBorder="1" applyAlignment="1" applyProtection="1">
      <alignment horizontal="center" vertical="center"/>
      <protection locked="0"/>
    </xf>
    <xf numFmtId="168" fontId="35" fillId="3" borderId="6" xfId="0" applyNumberFormat="1" applyFont="1" applyFill="1" applyBorder="1" applyAlignment="1" applyProtection="1">
      <alignment horizontal="center" vertical="center"/>
      <protection locked="0"/>
    </xf>
    <xf numFmtId="164"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8" fillId="0" borderId="21" xfId="0" applyNumberFormat="1" applyFont="1" applyFill="1" applyBorder="1" applyAlignment="1" applyProtection="1">
      <alignment horizontal="left" vertical="center"/>
    </xf>
    <xf numFmtId="0" fontId="4" fillId="0" borderId="21" xfId="0" applyFont="1" applyBorder="1" applyAlignment="1">
      <alignment horizontal="left" vertical="center"/>
    </xf>
    <xf numFmtId="49" fontId="4" fillId="0" borderId="21" xfId="0" applyNumberFormat="1" applyFont="1" applyFill="1" applyBorder="1" applyAlignment="1" applyProtection="1">
      <alignment vertical="center"/>
    </xf>
    <xf numFmtId="0" fontId="17" fillId="0" borderId="0" xfId="0" applyFont="1" applyAlignment="1" applyProtection="1">
      <alignment vertical="top"/>
      <protection hidden="1"/>
    </xf>
    <xf numFmtId="0" fontId="33" fillId="4" borderId="3" xfId="0" applyFont="1" applyFill="1" applyBorder="1" applyAlignment="1">
      <alignment horizontal="center" vertical="center" wrapText="1"/>
    </xf>
    <xf numFmtId="0" fontId="33" fillId="4" borderId="3" xfId="3" applyFont="1" applyFill="1" applyBorder="1" applyAlignment="1">
      <alignment horizontal="center" vertical="center"/>
    </xf>
    <xf numFmtId="1" fontId="33" fillId="7" borderId="10" xfId="2" applyNumberFormat="1" applyFont="1" applyFill="1" applyBorder="1" applyAlignment="1">
      <alignment horizontal="center" vertical="center" wrapText="1"/>
    </xf>
    <xf numFmtId="1" fontId="33" fillId="4" borderId="20"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1" fontId="33" fillId="4" borderId="22" xfId="0" applyNumberFormat="1" applyFont="1" applyFill="1" applyBorder="1" applyAlignment="1">
      <alignment horizontal="center" vertical="center" wrapText="1"/>
    </xf>
    <xf numFmtId="0" fontId="17" fillId="2" borderId="23" xfId="3"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24" xfId="3" applyFont="1" applyFill="1" applyBorder="1" applyAlignment="1">
      <alignment horizontal="center" vertical="center"/>
    </xf>
    <xf numFmtId="0" fontId="33" fillId="4" borderId="5" xfId="3" applyFont="1" applyFill="1" applyBorder="1" applyAlignment="1">
      <alignment horizontal="center" vertical="center"/>
    </xf>
    <xf numFmtId="0" fontId="17" fillId="2" borderId="3" xfId="3" applyFont="1" applyFill="1" applyBorder="1" applyAlignment="1">
      <alignment horizontal="center" vertical="center" wrapText="1"/>
    </xf>
    <xf numFmtId="0" fontId="17"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7" fillId="8" borderId="10" xfId="4" applyFont="1" applyFill="1" applyBorder="1" applyAlignment="1">
      <alignment horizontal="center" vertical="center"/>
    </xf>
    <xf numFmtId="0" fontId="33" fillId="8" borderId="10" xfId="6" applyFont="1" applyFill="1" applyBorder="1" applyAlignment="1">
      <alignment horizontal="center" vertical="center" wrapText="1"/>
    </xf>
    <xf numFmtId="49" fontId="36" fillId="0" borderId="0" xfId="0" applyNumberFormat="1" applyFont="1" applyFill="1" applyBorder="1" applyAlignment="1" applyProtection="1">
      <alignment horizontal="center" vertical="center"/>
    </xf>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25" xfId="0" applyFill="1" applyBorder="1" applyAlignment="1"/>
    <xf numFmtId="0" fontId="0" fillId="0" borderId="26" xfId="0" applyFill="1" applyBorder="1" applyAlignment="1"/>
    <xf numFmtId="49" fontId="4" fillId="0" borderId="0" xfId="0" applyNumberFormat="1" applyFont="1" applyFill="1" applyAlignment="1">
      <alignment horizontal="center" vertical="center"/>
    </xf>
    <xf numFmtId="0" fontId="4" fillId="0" borderId="10" xfId="0" applyFont="1" applyFill="1" applyBorder="1" applyAlignment="1">
      <alignment horizontal="center" vertical="center"/>
    </xf>
    <xf numFmtId="0" fontId="0" fillId="9" borderId="10" xfId="0" applyFill="1" applyBorder="1"/>
    <xf numFmtId="0" fontId="49" fillId="0" borderId="0" xfId="0" applyFont="1" applyFill="1" applyAlignment="1">
      <alignment horizontal="center" wrapText="1"/>
    </xf>
    <xf numFmtId="0" fontId="3" fillId="0" borderId="10" xfId="0" applyNumberFormat="1" applyFont="1" applyFill="1" applyBorder="1" applyAlignment="1" applyProtection="1">
      <alignment horizontal="center" vertical="center"/>
      <protection hidden="1"/>
    </xf>
    <xf numFmtId="0" fontId="35" fillId="0" borderId="1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0" fillId="0" borderId="26" xfId="0" applyFill="1" applyBorder="1"/>
    <xf numFmtId="0" fontId="50" fillId="0" borderId="1" xfId="7" applyFont="1" applyFill="1" applyBorder="1" applyAlignment="1">
      <alignment horizontal="right" wrapText="1"/>
    </xf>
    <xf numFmtId="0" fontId="4" fillId="0" borderId="10"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0" fontId="53" fillId="0" borderId="0" xfId="0" applyFont="1" applyAlignment="1">
      <alignment vertical="center"/>
    </xf>
    <xf numFmtId="168" fontId="4" fillId="0" borderId="27" xfId="6" applyNumberFormat="1" applyFont="1" applyBorder="1" applyAlignment="1">
      <alignment horizontal="center" vertical="center"/>
    </xf>
    <xf numFmtId="168" fontId="4" fillId="0" borderId="28" xfId="6" applyNumberFormat="1" applyFont="1" applyBorder="1" applyAlignment="1">
      <alignment horizontal="center" vertical="center"/>
    </xf>
    <xf numFmtId="168" fontId="4" fillId="0" borderId="29" xfId="6" applyNumberFormat="1" applyFont="1" applyBorder="1" applyAlignment="1">
      <alignment horizontal="center"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3" fontId="0" fillId="0" borderId="0" xfId="0" applyNumberFormat="1" applyFill="1"/>
    <xf numFmtId="1" fontId="0" fillId="0" borderId="0" xfId="0" applyNumberFormat="1" applyAlignment="1"/>
    <xf numFmtId="0" fontId="0" fillId="4" borderId="20" xfId="0" applyFill="1" applyBorder="1" applyAlignment="1">
      <alignment horizontal="right" vertical="center"/>
    </xf>
    <xf numFmtId="0" fontId="55" fillId="4" borderId="30" xfId="1" applyFont="1" applyFill="1" applyBorder="1" applyAlignment="1" applyProtection="1">
      <alignment horizontal="right" vertical="center"/>
    </xf>
    <xf numFmtId="0" fontId="35" fillId="0" borderId="10"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left"/>
      <protection hidden="1"/>
    </xf>
    <xf numFmtId="1" fontId="14" fillId="2" borderId="7" xfId="0" applyNumberFormat="1" applyFont="1" applyFill="1" applyBorder="1" applyAlignment="1" applyProtection="1">
      <alignment horizontal="center" vertical="center"/>
      <protection hidden="1"/>
    </xf>
    <xf numFmtId="49" fontId="57" fillId="0" borderId="7" xfId="0" applyNumberFormat="1" applyFont="1" applyBorder="1" applyAlignment="1" applyProtection="1">
      <alignment horizontal="center" vertical="center" wrapText="1"/>
      <protection hidden="1"/>
    </xf>
    <xf numFmtId="1" fontId="14" fillId="2" borderId="8" xfId="0" applyNumberFormat="1" applyFont="1" applyFill="1" applyBorder="1" applyAlignment="1" applyProtection="1">
      <alignment horizontal="center" vertical="center"/>
      <protection hidden="1"/>
    </xf>
    <xf numFmtId="49" fontId="57" fillId="0" borderId="8" xfId="0" applyNumberFormat="1" applyFont="1" applyBorder="1" applyAlignment="1" applyProtection="1">
      <alignment horizontal="center" vertical="center" wrapText="1"/>
      <protection hidden="1"/>
    </xf>
    <xf numFmtId="0" fontId="57" fillId="0" borderId="8" xfId="0" applyFont="1" applyFill="1" applyBorder="1" applyAlignment="1" applyProtection="1">
      <alignment vertical="center" wrapText="1"/>
      <protection hidden="1"/>
    </xf>
    <xf numFmtId="49" fontId="57" fillId="0" borderId="9" xfId="0" applyNumberFormat="1" applyFont="1" applyBorder="1" applyAlignment="1" applyProtection="1">
      <alignment horizontal="center" vertical="center" wrapText="1"/>
      <protection hidden="1"/>
    </xf>
    <xf numFmtId="0" fontId="57" fillId="0" borderId="9" xfId="0" applyFont="1" applyFill="1" applyBorder="1" applyAlignment="1" applyProtection="1">
      <alignment vertical="center" wrapText="1"/>
      <protection hidden="1"/>
    </xf>
    <xf numFmtId="0" fontId="57" fillId="0" borderId="7" xfId="0" applyFont="1" applyFill="1" applyBorder="1" applyAlignment="1" applyProtection="1">
      <alignment vertical="center" wrapText="1"/>
      <protection hidden="1"/>
    </xf>
    <xf numFmtId="0" fontId="4" fillId="0" borderId="0" xfId="0" applyFont="1" applyAlignment="1">
      <alignment horizontal="right" vertical="center"/>
    </xf>
    <xf numFmtId="0" fontId="4" fillId="0" borderId="0" xfId="0" applyFont="1" applyAlignment="1">
      <alignment horizontal="center" vertical="center"/>
    </xf>
    <xf numFmtId="0" fontId="45" fillId="10" borderId="3" xfId="5" applyFont="1" applyFill="1" applyBorder="1" applyAlignment="1" applyProtection="1">
      <alignment horizontal="center" vertical="center"/>
      <protection hidden="1"/>
    </xf>
    <xf numFmtId="0" fontId="4"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52" fillId="0" borderId="0" xfId="0" applyFont="1" applyAlignment="1" applyProtection="1">
      <alignment horizontal="center" vertical="top"/>
      <protection hidden="1"/>
    </xf>
    <xf numFmtId="0" fontId="27" fillId="0" borderId="31" xfId="0" applyFont="1" applyBorder="1" applyAlignment="1">
      <alignment horizontal="left" vertical="center" wrapText="1"/>
    </xf>
    <xf numFmtId="0" fontId="16" fillId="0" borderId="32" xfId="0" applyFont="1" applyBorder="1" applyAlignment="1">
      <alignment horizontal="left" vertical="center" wrapText="1"/>
    </xf>
    <xf numFmtId="3" fontId="16" fillId="0" borderId="33" xfId="0" applyNumberFormat="1" applyFont="1" applyFill="1" applyBorder="1" applyAlignment="1" applyProtection="1">
      <alignment horizontal="right" vertical="center" shrinkToFit="1"/>
      <protection locked="0"/>
    </xf>
    <xf numFmtId="3" fontId="16" fillId="3" borderId="33" xfId="0" applyNumberFormat="1" applyFont="1" applyFill="1" applyBorder="1" applyAlignment="1" applyProtection="1">
      <alignment horizontal="right" vertical="center" shrinkToFit="1"/>
      <protection hidden="1"/>
    </xf>
    <xf numFmtId="0" fontId="16" fillId="0" borderId="32" xfId="0" applyFont="1" applyBorder="1" applyAlignment="1">
      <alignment horizontal="left" vertical="center" shrinkToFit="1"/>
    </xf>
    <xf numFmtId="0" fontId="16" fillId="0" borderId="32" xfId="0" applyFont="1" applyFill="1" applyBorder="1" applyAlignment="1">
      <alignment horizontal="left" vertical="center" wrapText="1"/>
    </xf>
    <xf numFmtId="0" fontId="27" fillId="0" borderId="32" xfId="0" applyFont="1" applyBorder="1" applyAlignment="1">
      <alignment horizontal="left" vertical="center" wrapText="1"/>
    </xf>
    <xf numFmtId="0" fontId="16" fillId="0" borderId="3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Fill="1" applyBorder="1" applyAlignment="1">
      <alignment horizontal="left" vertical="center" wrapText="1"/>
    </xf>
    <xf numFmtId="3" fontId="16" fillId="3" borderId="36" xfId="0" applyNumberFormat="1" applyFont="1" applyFill="1" applyBorder="1" applyAlignment="1" applyProtection="1">
      <alignment horizontal="right" vertical="center" shrinkToFit="1"/>
      <protection hidden="1"/>
    </xf>
    <xf numFmtId="49" fontId="16" fillId="0" borderId="37" xfId="8" applyNumberFormat="1" applyFont="1" applyFill="1" applyBorder="1" applyAlignment="1">
      <alignment horizontal="left" vertical="center" wrapText="1"/>
    </xf>
    <xf numFmtId="0" fontId="27" fillId="0" borderId="38" xfId="0" applyFont="1" applyBorder="1" applyAlignment="1">
      <alignment horizontal="left" vertical="center"/>
    </xf>
    <xf numFmtId="3" fontId="16" fillId="0" borderId="39" xfId="0" applyNumberFormat="1" applyFont="1" applyFill="1" applyBorder="1" applyAlignment="1" applyProtection="1">
      <alignment horizontal="right" vertical="center" shrinkToFit="1"/>
      <protection locked="0"/>
    </xf>
    <xf numFmtId="49" fontId="16" fillId="0" borderId="31" xfId="8" applyNumberFormat="1" applyFont="1" applyFill="1" applyBorder="1" applyAlignment="1">
      <alignment horizontal="left" vertical="center" wrapText="1"/>
    </xf>
    <xf numFmtId="0" fontId="27" fillId="0" borderId="32" xfId="0" applyFont="1" applyBorder="1" applyAlignment="1">
      <alignment horizontal="left" vertical="center"/>
    </xf>
    <xf numFmtId="0" fontId="27" fillId="0" borderId="32" xfId="0" applyFont="1" applyBorder="1" applyAlignment="1">
      <alignment horizontal="left" vertical="center" shrinkToFit="1"/>
    </xf>
    <xf numFmtId="0" fontId="16" fillId="0" borderId="32" xfId="0" applyFont="1" applyBorder="1" applyAlignment="1">
      <alignment horizontal="left" vertical="center"/>
    </xf>
    <xf numFmtId="0" fontId="16" fillId="0" borderId="32" xfId="8" applyFont="1" applyFill="1" applyBorder="1" applyAlignment="1">
      <alignment horizontal="left" vertical="center"/>
    </xf>
    <xf numFmtId="0" fontId="27" fillId="0" borderId="32" xfId="0" applyFont="1" applyFill="1" applyBorder="1" applyAlignment="1">
      <alignment horizontal="left" vertical="center"/>
    </xf>
    <xf numFmtId="49" fontId="16" fillId="0" borderId="40" xfId="8" applyNumberFormat="1" applyFont="1" applyFill="1" applyBorder="1" applyAlignment="1">
      <alignment horizontal="left" vertical="center" wrapText="1"/>
    </xf>
    <xf numFmtId="0" fontId="27" fillId="0" borderId="41" xfId="0" applyFont="1" applyBorder="1" applyAlignment="1">
      <alignment horizontal="left" vertical="center"/>
    </xf>
    <xf numFmtId="3" fontId="16" fillId="0" borderId="42" xfId="0" applyNumberFormat="1" applyFont="1" applyFill="1" applyBorder="1" applyAlignment="1" applyProtection="1">
      <alignment horizontal="right" vertical="center" shrinkToFit="1"/>
      <protection locked="0"/>
    </xf>
    <xf numFmtId="49" fontId="16" fillId="0" borderId="43" xfId="8" applyNumberFormat="1" applyFont="1" applyFill="1" applyBorder="1" applyAlignment="1">
      <alignment horizontal="left" vertical="center" wrapText="1"/>
    </xf>
    <xf numFmtId="0" fontId="27" fillId="0" borderId="44" xfId="0" applyFont="1" applyBorder="1" applyAlignment="1">
      <alignment horizontal="left" vertical="center"/>
    </xf>
    <xf numFmtId="3" fontId="16" fillId="0" borderId="45" xfId="0" applyNumberFormat="1" applyFont="1" applyFill="1" applyBorder="1" applyAlignment="1" applyProtection="1">
      <alignment horizontal="right" vertical="center" shrinkToFit="1"/>
      <protection locked="0"/>
    </xf>
    <xf numFmtId="49" fontId="16" fillId="0" borderId="46" xfId="8" applyNumberFormat="1" applyFont="1" applyFill="1" applyBorder="1" applyAlignment="1">
      <alignment horizontal="left" vertical="center" wrapText="1"/>
    </xf>
    <xf numFmtId="0" fontId="28" fillId="0" borderId="47" xfId="0" applyFont="1" applyFill="1" applyBorder="1" applyAlignment="1">
      <alignment horizontal="left" vertical="center"/>
    </xf>
    <xf numFmtId="3" fontId="16" fillId="3" borderId="48" xfId="0" applyNumberFormat="1" applyFont="1" applyFill="1" applyBorder="1" applyAlignment="1" applyProtection="1">
      <alignment horizontal="right" vertical="center" shrinkToFit="1"/>
      <protection hidden="1"/>
    </xf>
    <xf numFmtId="0" fontId="27" fillId="0" borderId="41" xfId="0" applyFont="1" applyFill="1" applyBorder="1" applyAlignment="1">
      <alignment horizontal="left" vertical="center"/>
    </xf>
    <xf numFmtId="0" fontId="27" fillId="0" borderId="41" xfId="0" applyFont="1" applyBorder="1" applyAlignment="1">
      <alignment horizontal="left" vertical="center" shrinkToFit="1"/>
    </xf>
    <xf numFmtId="0" fontId="27" fillId="0" borderId="43" xfId="0" applyFont="1" applyFill="1" applyBorder="1" applyAlignment="1">
      <alignment horizontal="left" vertical="center" wrapText="1"/>
    </xf>
    <xf numFmtId="0" fontId="16" fillId="0" borderId="44" xfId="0" applyFont="1" applyFill="1" applyBorder="1" applyAlignment="1">
      <alignment horizontal="left" vertical="center"/>
    </xf>
    <xf numFmtId="49" fontId="37" fillId="0" borderId="46" xfId="2" applyNumberFormat="1" applyFont="1" applyFill="1" applyBorder="1" applyAlignment="1">
      <alignment horizontal="left" vertical="center" shrinkToFit="1"/>
    </xf>
    <xf numFmtId="49" fontId="18" fillId="0" borderId="47" xfId="2" applyNumberFormat="1" applyFont="1" applyFill="1" applyBorder="1" applyAlignment="1">
      <alignment horizontal="left" vertical="center"/>
    </xf>
    <xf numFmtId="0" fontId="27" fillId="0" borderId="43" xfId="0" applyFont="1" applyBorder="1" applyAlignment="1">
      <alignment horizontal="left" vertical="center" wrapText="1"/>
    </xf>
    <xf numFmtId="0" fontId="16" fillId="0" borderId="44" xfId="0" applyFont="1" applyBorder="1" applyAlignment="1">
      <alignment horizontal="left" vertical="center" wrapText="1"/>
    </xf>
    <xf numFmtId="3" fontId="16" fillId="3" borderId="45" xfId="0" applyNumberFormat="1" applyFont="1" applyFill="1" applyBorder="1" applyAlignment="1" applyProtection="1">
      <alignment horizontal="right" vertical="center" shrinkToFit="1"/>
      <protection hidden="1"/>
    </xf>
    <xf numFmtId="0" fontId="27" fillId="0" borderId="41" xfId="0" applyFont="1" applyBorder="1" applyAlignment="1">
      <alignment horizontal="left" vertical="center" wrapText="1"/>
    </xf>
    <xf numFmtId="49" fontId="27" fillId="0" borderId="49" xfId="2" applyNumberFormat="1" applyFont="1" applyFill="1" applyBorder="1" applyAlignment="1">
      <alignment horizontal="left" vertical="center" shrinkToFit="1"/>
    </xf>
    <xf numFmtId="0" fontId="18" fillId="0" borderId="50" xfId="0" applyFont="1" applyBorder="1" applyAlignment="1">
      <alignment horizontal="left" vertical="center"/>
    </xf>
    <xf numFmtId="3" fontId="16" fillId="3" borderId="51" xfId="0" applyNumberFormat="1" applyFont="1" applyFill="1" applyBorder="1" applyAlignment="1" applyProtection="1">
      <alignment horizontal="right" vertical="center" shrinkToFit="1"/>
      <protection hidden="1"/>
    </xf>
    <xf numFmtId="0" fontId="17" fillId="2" borderId="52" xfId="0" applyFont="1" applyFill="1" applyBorder="1" applyAlignment="1">
      <alignment horizontal="center" vertical="center" wrapText="1"/>
    </xf>
    <xf numFmtId="0" fontId="17" fillId="2" borderId="52" xfId="3" applyFont="1" applyFill="1" applyBorder="1" applyAlignment="1">
      <alignment horizontal="center" vertical="center"/>
    </xf>
    <xf numFmtId="49" fontId="16"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wrapText="1"/>
      <protection hidden="1"/>
    </xf>
    <xf numFmtId="3" fontId="16" fillId="3" borderId="38" xfId="0" applyNumberFormat="1" applyFont="1" applyFill="1" applyBorder="1" applyAlignment="1" applyProtection="1">
      <alignment horizontal="right" vertical="center" shrinkToFit="1"/>
      <protection hidden="1"/>
    </xf>
    <xf numFmtId="165" fontId="16" fillId="0" borderId="39" xfId="0" applyNumberFormat="1" applyFont="1" applyFill="1" applyBorder="1" applyAlignment="1" applyProtection="1">
      <alignment horizontal="right" vertical="center"/>
      <protection hidden="1"/>
    </xf>
    <xf numFmtId="49" fontId="16"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wrapText="1"/>
      <protection hidden="1"/>
    </xf>
    <xf numFmtId="3" fontId="16" fillId="3" borderId="32" xfId="0" applyNumberFormat="1" applyFont="1" applyFill="1" applyBorder="1" applyAlignment="1" applyProtection="1">
      <alignment horizontal="right" vertical="center" shrinkToFit="1"/>
      <protection hidden="1"/>
    </xf>
    <xf numFmtId="165" fontId="16" fillId="0" borderId="33" xfId="0" applyNumberFormat="1" applyFont="1" applyFill="1" applyBorder="1" applyAlignment="1" applyProtection="1">
      <alignment horizontal="right" vertical="center"/>
      <protection hidden="1"/>
    </xf>
    <xf numFmtId="3" fontId="16" fillId="0" borderId="32" xfId="0" applyNumberFormat="1" applyFont="1" applyFill="1" applyBorder="1" applyAlignment="1" applyProtection="1">
      <alignment horizontal="right" vertical="center" shrinkToFit="1"/>
      <protection locked="0"/>
    </xf>
    <xf numFmtId="49" fontId="16" fillId="0" borderId="32" xfId="0" applyNumberFormat="1" applyFont="1" applyFill="1" applyBorder="1" applyAlignment="1" applyProtection="1">
      <alignment horizontal="left" vertical="center" shrinkToFit="1"/>
      <protection hidden="1"/>
    </xf>
    <xf numFmtId="49" fontId="16" fillId="0" borderId="34" xfId="2" applyNumberFormat="1" applyFont="1" applyFill="1" applyBorder="1" applyAlignment="1" applyProtection="1">
      <alignment horizontal="left" vertical="center" wrapText="1"/>
      <protection hidden="1"/>
    </xf>
    <xf numFmtId="49" fontId="16" fillId="0" borderId="35" xfId="0" applyNumberFormat="1" applyFont="1" applyFill="1" applyBorder="1" applyAlignment="1" applyProtection="1">
      <alignment horizontal="left" vertical="center" wrapText="1"/>
      <protection hidden="1"/>
    </xf>
    <xf numFmtId="3" fontId="16" fillId="0" borderId="35" xfId="0" applyNumberFormat="1" applyFont="1" applyFill="1" applyBorder="1" applyAlignment="1" applyProtection="1">
      <alignment horizontal="right" vertical="center" shrinkToFit="1"/>
      <protection locked="0"/>
    </xf>
    <xf numFmtId="165" fontId="16" fillId="0" borderId="36" xfId="0" applyNumberFormat="1" applyFont="1" applyFill="1" applyBorder="1" applyAlignment="1" applyProtection="1">
      <alignment horizontal="right" vertical="center"/>
      <protection hidden="1"/>
    </xf>
    <xf numFmtId="3" fontId="16" fillId="3" borderId="35" xfId="0" applyNumberFormat="1" applyFont="1" applyFill="1" applyBorder="1" applyAlignment="1" applyProtection="1">
      <alignment horizontal="right" vertical="center" shrinkToFit="1"/>
      <protection hidden="1"/>
    </xf>
    <xf numFmtId="49" fontId="16" fillId="0" borderId="31" xfId="2" applyNumberFormat="1" applyFont="1" applyFill="1" applyBorder="1" applyAlignment="1" applyProtection="1">
      <alignment horizontal="left" vertical="center" shrinkToFit="1"/>
      <protection hidden="1"/>
    </xf>
    <xf numFmtId="3" fontId="16" fillId="0" borderId="38" xfId="0" applyNumberFormat="1" applyFont="1" applyFill="1" applyBorder="1" applyAlignment="1" applyProtection="1">
      <alignment horizontal="right" vertical="center" shrinkToFit="1"/>
      <protection locked="0"/>
    </xf>
    <xf numFmtId="49" fontId="16"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wrapText="1"/>
      <protection hidden="1"/>
    </xf>
    <xf numFmtId="3" fontId="16" fillId="0" borderId="41" xfId="0" applyNumberFormat="1" applyFont="1" applyFill="1" applyBorder="1" applyAlignment="1" applyProtection="1">
      <alignment horizontal="right" vertical="center" shrinkToFit="1"/>
      <protection locked="0"/>
    </xf>
    <xf numFmtId="165" fontId="16" fillId="0" borderId="42" xfId="0" applyNumberFormat="1" applyFont="1" applyFill="1" applyBorder="1" applyAlignment="1" applyProtection="1">
      <alignment horizontal="right" vertical="center"/>
      <protection hidden="1"/>
    </xf>
    <xf numFmtId="49" fontId="16" fillId="0" borderId="43" xfId="2" applyNumberFormat="1" applyFont="1" applyFill="1" applyBorder="1" applyAlignment="1" applyProtection="1">
      <alignment horizontal="left" vertical="center" wrapText="1"/>
      <protection hidden="1"/>
    </xf>
    <xf numFmtId="49" fontId="16" fillId="0" borderId="44" xfId="0" applyNumberFormat="1" applyFont="1" applyFill="1" applyBorder="1" applyAlignment="1" applyProtection="1">
      <alignment horizontal="left" vertical="center" wrapText="1"/>
      <protection hidden="1"/>
    </xf>
    <xf numFmtId="3" fontId="16" fillId="0" borderId="44" xfId="0" applyNumberFormat="1" applyFont="1" applyFill="1" applyBorder="1" applyAlignment="1" applyProtection="1">
      <alignment horizontal="right" vertical="center" shrinkToFit="1"/>
      <protection locked="0"/>
    </xf>
    <xf numFmtId="165" fontId="16" fillId="0" borderId="45" xfId="0" applyNumberFormat="1" applyFont="1" applyFill="1" applyBorder="1" applyAlignment="1" applyProtection="1">
      <alignment horizontal="right" vertical="center"/>
      <protection hidden="1"/>
    </xf>
    <xf numFmtId="49" fontId="16" fillId="0" borderId="46" xfId="2" applyNumberFormat="1" applyFont="1" applyFill="1" applyBorder="1" applyAlignment="1" applyProtection="1">
      <alignment horizontal="left" vertical="center" wrapText="1"/>
      <protection hidden="1"/>
    </xf>
    <xf numFmtId="49" fontId="18" fillId="0" borderId="47" xfId="0" applyNumberFormat="1" applyFont="1" applyFill="1" applyBorder="1" applyAlignment="1" applyProtection="1">
      <alignment horizontal="left" vertical="center" wrapText="1"/>
      <protection hidden="1"/>
    </xf>
    <xf numFmtId="3" fontId="16" fillId="3" borderId="47" xfId="0" applyNumberFormat="1" applyFont="1" applyFill="1" applyBorder="1" applyAlignment="1" applyProtection="1">
      <alignment horizontal="right" vertical="center" shrinkToFit="1"/>
      <protection hidden="1"/>
    </xf>
    <xf numFmtId="165" fontId="16" fillId="0" borderId="48" xfId="0" applyNumberFormat="1" applyFont="1" applyFill="1" applyBorder="1" applyAlignment="1" applyProtection="1">
      <alignment horizontal="right" vertical="center"/>
      <protection hidden="1"/>
    </xf>
    <xf numFmtId="49" fontId="16" fillId="0" borderId="53" xfId="2" applyNumberFormat="1" applyFont="1" applyFill="1" applyBorder="1" applyAlignment="1" applyProtection="1">
      <alignment horizontal="left" vertical="center" wrapText="1"/>
      <protection hidden="1"/>
    </xf>
    <xf numFmtId="49" fontId="16" fillId="0" borderId="54" xfId="0" applyNumberFormat="1" applyFont="1" applyFill="1" applyBorder="1" applyAlignment="1" applyProtection="1">
      <alignment horizontal="left" vertical="center" wrapText="1"/>
      <protection hidden="1"/>
    </xf>
    <xf numFmtId="3" fontId="16" fillId="0" borderId="54" xfId="0" applyNumberFormat="1" applyFont="1" applyFill="1" applyBorder="1" applyAlignment="1" applyProtection="1">
      <alignment horizontal="right" vertical="center" shrinkToFit="1"/>
      <protection locked="0"/>
    </xf>
    <xf numFmtId="165" fontId="16" fillId="0" borderId="55" xfId="0" applyNumberFormat="1" applyFont="1" applyFill="1" applyBorder="1" applyAlignment="1" applyProtection="1">
      <alignment horizontal="right" vertical="center"/>
      <protection hidden="1"/>
    </xf>
    <xf numFmtId="49" fontId="16" fillId="0" borderId="56" xfId="2" applyNumberFormat="1" applyFont="1" applyFill="1" applyBorder="1" applyAlignment="1" applyProtection="1">
      <alignment horizontal="left" vertical="center" wrapText="1"/>
      <protection hidden="1"/>
    </xf>
    <xf numFmtId="49" fontId="16" fillId="0" borderId="57" xfId="0" applyNumberFormat="1" applyFont="1" applyFill="1" applyBorder="1" applyAlignment="1" applyProtection="1">
      <alignment horizontal="left" vertical="center" wrapText="1"/>
      <protection hidden="1"/>
    </xf>
    <xf numFmtId="3" fontId="16" fillId="0" borderId="57" xfId="0" applyNumberFormat="1" applyFont="1" applyFill="1" applyBorder="1" applyAlignment="1" applyProtection="1">
      <alignment horizontal="right" vertical="center" shrinkToFit="1"/>
      <protection locked="0"/>
    </xf>
    <xf numFmtId="165" fontId="16" fillId="0" borderId="58" xfId="0" applyNumberFormat="1" applyFont="1" applyFill="1" applyBorder="1" applyAlignment="1" applyProtection="1">
      <alignment horizontal="right" vertical="center"/>
      <protection hidden="1"/>
    </xf>
    <xf numFmtId="49" fontId="16" fillId="0" borderId="57" xfId="0" applyNumberFormat="1" applyFont="1" applyFill="1" applyBorder="1" applyAlignment="1" applyProtection="1">
      <alignment horizontal="left" vertical="center" shrinkToFit="1"/>
      <protection hidden="1"/>
    </xf>
    <xf numFmtId="49" fontId="16" fillId="0" borderId="59" xfId="2" applyNumberFormat="1" applyFont="1" applyFill="1" applyBorder="1" applyAlignment="1" applyProtection="1">
      <alignment horizontal="left" vertical="center" wrapText="1"/>
      <protection hidden="1"/>
    </xf>
    <xf numFmtId="49" fontId="16" fillId="0" borderId="60" xfId="0" applyNumberFormat="1" applyFont="1" applyFill="1" applyBorder="1" applyAlignment="1" applyProtection="1">
      <alignment horizontal="left" vertical="center" wrapText="1"/>
      <protection hidden="1"/>
    </xf>
    <xf numFmtId="3" fontId="16" fillId="0" borderId="60" xfId="0" applyNumberFormat="1" applyFont="1" applyFill="1" applyBorder="1" applyAlignment="1" applyProtection="1">
      <alignment horizontal="right" vertical="center" shrinkToFit="1"/>
      <protection locked="0"/>
    </xf>
    <xf numFmtId="165" fontId="16" fillId="0" borderId="61" xfId="0" applyNumberFormat="1" applyFont="1" applyFill="1" applyBorder="1" applyAlignment="1" applyProtection="1">
      <alignment horizontal="right" vertical="center"/>
      <protection hidden="1"/>
    </xf>
    <xf numFmtId="49" fontId="16" fillId="0" borderId="54" xfId="0" applyNumberFormat="1" applyFont="1" applyFill="1" applyBorder="1" applyAlignment="1" applyProtection="1">
      <alignment horizontal="left" vertical="center" shrinkToFit="1"/>
      <protection hidden="1"/>
    </xf>
    <xf numFmtId="49" fontId="16" fillId="0" borderId="62" xfId="2" applyNumberFormat="1" applyFont="1" applyFill="1" applyBorder="1" applyAlignment="1" applyProtection="1">
      <alignment horizontal="left" vertical="center" wrapText="1"/>
      <protection hidden="1"/>
    </xf>
    <xf numFmtId="49" fontId="18" fillId="0" borderId="63" xfId="0" applyNumberFormat="1" applyFont="1" applyFill="1" applyBorder="1" applyAlignment="1" applyProtection="1">
      <alignment horizontal="left" vertical="center" wrapText="1"/>
      <protection hidden="1"/>
    </xf>
    <xf numFmtId="3" fontId="16" fillId="3" borderId="63" xfId="0" applyNumberFormat="1" applyFont="1" applyFill="1" applyBorder="1" applyAlignment="1" applyProtection="1">
      <alignment horizontal="right" vertical="center" shrinkToFit="1"/>
      <protection hidden="1"/>
    </xf>
    <xf numFmtId="165" fontId="16" fillId="0" borderId="64" xfId="0" applyNumberFormat="1" applyFont="1" applyFill="1" applyBorder="1" applyAlignment="1" applyProtection="1">
      <alignment horizontal="right" vertical="center"/>
      <protection hidden="1"/>
    </xf>
    <xf numFmtId="3" fontId="16" fillId="0" borderId="36" xfId="0" applyNumberFormat="1" applyFont="1" applyFill="1" applyBorder="1" applyAlignment="1" applyProtection="1">
      <alignment horizontal="right" vertical="center" shrinkToFit="1"/>
      <protection locked="0"/>
    </xf>
    <xf numFmtId="0" fontId="16" fillId="0" borderId="32" xfId="8" applyFont="1" applyFill="1" applyBorder="1" applyAlignment="1">
      <alignment horizontal="left" vertical="center" shrinkToFit="1"/>
    </xf>
    <xf numFmtId="0" fontId="66" fillId="2" borderId="5" xfId="0" applyFont="1" applyFill="1" applyBorder="1" applyAlignment="1">
      <alignment horizontal="center" vertical="center" wrapText="1"/>
    </xf>
    <xf numFmtId="49" fontId="27" fillId="0" borderId="65" xfId="2" applyNumberFormat="1" applyFont="1" applyFill="1" applyBorder="1" applyAlignment="1">
      <alignment horizontal="left" vertical="center" wrapText="1"/>
    </xf>
    <xf numFmtId="49" fontId="16" fillId="0" borderId="66" xfId="0" applyNumberFormat="1" applyFont="1" applyBorder="1" applyAlignment="1">
      <alignment horizontal="left" vertical="center" wrapText="1"/>
    </xf>
    <xf numFmtId="164" fontId="32" fillId="0" borderId="66" xfId="2" applyNumberFormat="1" applyFont="1" applyFill="1" applyBorder="1" applyAlignment="1">
      <alignment horizontal="center" vertical="center" wrapText="1"/>
    </xf>
    <xf numFmtId="165" fontId="16" fillId="0" borderId="67"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wrapText="1"/>
    </xf>
    <xf numFmtId="49" fontId="16" fillId="0" borderId="69" xfId="0" applyNumberFormat="1" applyFont="1" applyBorder="1" applyAlignment="1">
      <alignment horizontal="left" vertical="center" wrapText="1"/>
    </xf>
    <xf numFmtId="164" fontId="32" fillId="0" borderId="69" xfId="2" applyNumberFormat="1" applyFont="1" applyFill="1" applyBorder="1" applyAlignment="1">
      <alignment horizontal="center" vertical="center" wrapText="1"/>
    </xf>
    <xf numFmtId="3" fontId="16" fillId="0" borderId="69" xfId="0" applyNumberFormat="1" applyFont="1" applyFill="1" applyBorder="1" applyAlignment="1" applyProtection="1">
      <alignment horizontal="right" vertical="center" shrinkToFit="1"/>
      <protection locked="0"/>
    </xf>
    <xf numFmtId="165" fontId="16" fillId="0" borderId="70" xfId="0" applyNumberFormat="1" applyFont="1" applyFill="1" applyBorder="1" applyAlignment="1" applyProtection="1">
      <alignment horizontal="right" vertical="center"/>
      <protection hidden="1"/>
    </xf>
    <xf numFmtId="49" fontId="27" fillId="0" borderId="71" xfId="2" applyNumberFormat="1" applyFont="1" applyFill="1" applyBorder="1" applyAlignment="1">
      <alignment horizontal="left" vertical="center" wrapText="1"/>
    </xf>
    <xf numFmtId="49" fontId="16" fillId="0" borderId="72" xfId="0" applyNumberFormat="1" applyFont="1" applyBorder="1" applyAlignment="1">
      <alignment horizontal="left" vertical="center" wrapText="1"/>
    </xf>
    <xf numFmtId="164" fontId="32" fillId="0" borderId="72" xfId="2" applyNumberFormat="1" applyFont="1" applyFill="1" applyBorder="1" applyAlignment="1">
      <alignment horizontal="center" vertical="center" wrapText="1"/>
    </xf>
    <xf numFmtId="165" fontId="16" fillId="0" borderId="73" xfId="0" applyNumberFormat="1" applyFont="1" applyFill="1" applyBorder="1" applyAlignment="1" applyProtection="1">
      <alignment horizontal="right" vertical="center"/>
      <protection hidden="1"/>
    </xf>
    <xf numFmtId="3" fontId="16" fillId="3" borderId="69" xfId="0" applyNumberFormat="1" applyFont="1" applyFill="1" applyBorder="1" applyAlignment="1" applyProtection="1">
      <alignment horizontal="right" vertical="center" shrinkToFit="1"/>
      <protection hidden="1"/>
    </xf>
    <xf numFmtId="49" fontId="27" fillId="0" borderId="37" xfId="2" applyNumberFormat="1" applyFont="1" applyFill="1" applyBorder="1" applyAlignment="1" applyProtection="1">
      <alignment horizontal="left" vertical="center" wrapText="1"/>
      <protection hidden="1"/>
    </xf>
    <xf numFmtId="49" fontId="16" fillId="0" borderId="38" xfId="0" applyNumberFormat="1" applyFont="1" applyFill="1" applyBorder="1" applyAlignment="1" applyProtection="1">
      <alignment horizontal="left" vertical="center"/>
      <protection hidden="1"/>
    </xf>
    <xf numFmtId="49" fontId="27" fillId="0" borderId="31" xfId="2" applyNumberFormat="1" applyFont="1" applyFill="1" applyBorder="1" applyAlignment="1" applyProtection="1">
      <alignment horizontal="left" vertical="center" wrapText="1"/>
      <protection hidden="1"/>
    </xf>
    <xf numFmtId="49" fontId="16" fillId="0" borderId="32" xfId="0" applyNumberFormat="1" applyFont="1" applyFill="1" applyBorder="1" applyAlignment="1" applyProtection="1">
      <alignment horizontal="left" vertical="center"/>
      <protection hidden="1"/>
    </xf>
    <xf numFmtId="49" fontId="27" fillId="0" borderId="40" xfId="2" applyNumberFormat="1" applyFont="1" applyFill="1" applyBorder="1" applyAlignment="1" applyProtection="1">
      <alignment horizontal="left" vertical="center" wrapText="1"/>
      <protection hidden="1"/>
    </xf>
    <xf numFmtId="49" fontId="16" fillId="0" borderId="41" xfId="0" applyNumberFormat="1" applyFont="1" applyFill="1" applyBorder="1" applyAlignment="1" applyProtection="1">
      <alignment horizontal="left" vertical="center"/>
      <protection hidden="1"/>
    </xf>
    <xf numFmtId="0" fontId="11" fillId="0" borderId="49" xfId="2" applyFont="1" applyFill="1" applyBorder="1" applyAlignment="1">
      <alignment horizontal="left" vertical="center" wrapText="1"/>
    </xf>
    <xf numFmtId="49" fontId="18" fillId="0" borderId="50" xfId="0" applyNumberFormat="1" applyFont="1" applyFill="1" applyBorder="1" applyAlignment="1" applyProtection="1">
      <alignment horizontal="left" vertical="center"/>
      <protection hidden="1"/>
    </xf>
    <xf numFmtId="3" fontId="16" fillId="3" borderId="50" xfId="0" applyNumberFormat="1" applyFont="1" applyFill="1" applyBorder="1" applyAlignment="1" applyProtection="1">
      <alignment horizontal="right" vertical="center" shrinkToFit="1"/>
      <protection hidden="1"/>
    </xf>
    <xf numFmtId="165" fontId="16" fillId="0" borderId="51" xfId="0" applyNumberFormat="1" applyFont="1" applyFill="1" applyBorder="1" applyAlignment="1" applyProtection="1">
      <alignment horizontal="right" vertical="center"/>
      <protection hidden="1"/>
    </xf>
    <xf numFmtId="0" fontId="66" fillId="2" borderId="10" xfId="0" applyFont="1" applyFill="1" applyBorder="1" applyAlignment="1">
      <alignment horizontal="center" vertical="center" wrapText="1"/>
    </xf>
    <xf numFmtId="0" fontId="27" fillId="0" borderId="37" xfId="0" applyFont="1" applyBorder="1" applyAlignment="1">
      <alignment vertical="center" wrapText="1"/>
    </xf>
    <xf numFmtId="0" fontId="16" fillId="0" borderId="38" xfId="0" applyFont="1" applyBorder="1" applyAlignment="1">
      <alignment horizontal="left" vertical="center" wrapText="1"/>
    </xf>
    <xf numFmtId="3" fontId="16" fillId="3" borderId="39" xfId="0" applyNumberFormat="1" applyFont="1" applyFill="1" applyBorder="1" applyAlignment="1" applyProtection="1">
      <alignment horizontal="right" vertical="center" shrinkToFit="1"/>
      <protection hidden="1"/>
    </xf>
    <xf numFmtId="0" fontId="27" fillId="0" borderId="31" xfId="0" applyFont="1" applyBorder="1" applyAlignment="1">
      <alignment vertical="center" wrapText="1"/>
    </xf>
    <xf numFmtId="0" fontId="27" fillId="0" borderId="34" xfId="0" applyFont="1" applyBorder="1" applyAlignment="1">
      <alignment vertical="center" wrapText="1"/>
    </xf>
    <xf numFmtId="0" fontId="16" fillId="0" borderId="35" xfId="0" applyFont="1" applyBorder="1" applyAlignment="1">
      <alignment horizontal="left" vertical="center" wrapText="1"/>
    </xf>
    <xf numFmtId="0" fontId="66" fillId="2" borderId="3" xfId="3" applyFont="1" applyFill="1" applyBorder="1" applyAlignment="1">
      <alignment horizontal="center" vertical="center" wrapText="1"/>
    </xf>
    <xf numFmtId="49" fontId="27" fillId="0" borderId="37" xfId="2" applyNumberFormat="1" applyFont="1" applyFill="1" applyBorder="1" applyAlignment="1">
      <alignment horizontal="left" vertical="center" wrapText="1"/>
    </xf>
    <xf numFmtId="165" fontId="46" fillId="0" borderId="39" xfId="0" applyNumberFormat="1" applyFont="1" applyFill="1" applyBorder="1" applyAlignment="1">
      <alignment horizontal="right" vertical="center"/>
    </xf>
    <xf numFmtId="49" fontId="27" fillId="0" borderId="31" xfId="2" applyNumberFormat="1" applyFont="1" applyFill="1" applyBorder="1" applyAlignment="1">
      <alignment horizontal="left" vertical="center" wrapText="1"/>
    </xf>
    <xf numFmtId="3" fontId="16" fillId="0" borderId="32" xfId="0" applyNumberFormat="1" applyFont="1" applyFill="1" applyBorder="1" applyAlignment="1" applyProtection="1">
      <alignment vertical="center" shrinkToFit="1"/>
      <protection locked="0"/>
    </xf>
    <xf numFmtId="165" fontId="46" fillId="0" borderId="33" xfId="0" applyNumberFormat="1" applyFont="1" applyFill="1" applyBorder="1" applyAlignment="1">
      <alignment horizontal="right" vertical="center"/>
    </xf>
    <xf numFmtId="165" fontId="16" fillId="0" borderId="33" xfId="0" applyNumberFormat="1" applyFont="1" applyFill="1" applyBorder="1" applyAlignment="1">
      <alignment horizontal="right" vertical="center"/>
    </xf>
    <xf numFmtId="49" fontId="16" fillId="0" borderId="32" xfId="0" applyNumberFormat="1" applyFont="1" applyBorder="1" applyAlignment="1">
      <alignment horizontal="left" vertical="center"/>
    </xf>
    <xf numFmtId="49" fontId="27" fillId="0" borderId="31" xfId="2" applyNumberFormat="1" applyFont="1" applyFill="1" applyBorder="1" applyAlignment="1">
      <alignment horizontal="left" vertical="center" shrinkToFit="1"/>
    </xf>
    <xf numFmtId="49" fontId="16" fillId="0" borderId="32" xfId="0" applyNumberFormat="1" applyFont="1" applyFill="1" applyBorder="1" applyAlignment="1">
      <alignment horizontal="left" vertical="center"/>
    </xf>
    <xf numFmtId="165" fontId="16" fillId="0" borderId="36" xfId="0" applyNumberFormat="1" applyFont="1" applyFill="1" applyBorder="1" applyAlignment="1">
      <alignment horizontal="right" vertical="center"/>
    </xf>
    <xf numFmtId="0" fontId="16" fillId="0" borderId="38"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2" xfId="0" applyFont="1" applyFill="1" applyBorder="1" applyAlignment="1">
      <alignment horizontal="left" vertical="center" shrinkToFit="1"/>
    </xf>
    <xf numFmtId="49" fontId="27" fillId="0" borderId="34" xfId="2" applyNumberFormat="1" applyFont="1" applyFill="1" applyBorder="1" applyAlignment="1">
      <alignment horizontal="left" vertical="center" shrinkToFit="1"/>
    </xf>
    <xf numFmtId="49" fontId="16" fillId="0" borderId="35" xfId="0" applyNumberFormat="1" applyFont="1" applyFill="1" applyBorder="1" applyAlignment="1">
      <alignment horizontal="left" vertical="center"/>
    </xf>
    <xf numFmtId="0" fontId="17" fillId="2" borderId="74" xfId="3" applyFont="1" applyFill="1" applyBorder="1" applyAlignment="1">
      <alignment horizontal="center" vertical="center" wrapText="1"/>
    </xf>
    <xf numFmtId="0" fontId="33" fillId="4" borderId="75" xfId="3" applyFont="1" applyFill="1" applyBorder="1" applyAlignment="1">
      <alignment horizontal="center" vertical="center"/>
    </xf>
    <xf numFmtId="49" fontId="16" fillId="0" borderId="38" xfId="0" applyNumberFormat="1" applyFont="1" applyBorder="1" applyAlignment="1">
      <alignment horizontal="left" vertical="center" shrinkToFit="1"/>
    </xf>
    <xf numFmtId="165" fontId="16" fillId="0" borderId="39" xfId="0" applyNumberFormat="1" applyFont="1" applyFill="1" applyBorder="1" applyAlignment="1">
      <alignment horizontal="right" vertical="center"/>
    </xf>
    <xf numFmtId="49" fontId="16" fillId="0" borderId="32" xfId="0" applyNumberFormat="1" applyFont="1" applyBorder="1" applyAlignment="1">
      <alignment horizontal="left" vertical="center" shrinkToFit="1"/>
    </xf>
    <xf numFmtId="49" fontId="27" fillId="0" borderId="40" xfId="2" applyNumberFormat="1" applyFont="1" applyFill="1" applyBorder="1" applyAlignment="1">
      <alignment horizontal="left" vertical="center" wrapText="1"/>
    </xf>
    <xf numFmtId="49" fontId="18" fillId="0" borderId="41" xfId="0" applyNumberFormat="1" applyFont="1" applyFill="1" applyBorder="1" applyAlignment="1">
      <alignment horizontal="left" vertical="center"/>
    </xf>
    <xf numFmtId="3" fontId="16" fillId="3" borderId="41" xfId="0" applyNumberFormat="1" applyFont="1" applyFill="1" applyBorder="1" applyAlignment="1" applyProtection="1">
      <alignment horizontal="right" vertical="center" shrinkToFit="1"/>
      <protection hidden="1"/>
    </xf>
    <xf numFmtId="0" fontId="2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2" xfId="0" applyFont="1" applyBorder="1" applyAlignment="1">
      <alignment horizontal="left" vertical="center"/>
    </xf>
    <xf numFmtId="0" fontId="27" fillId="0" borderId="34" xfId="0" applyFont="1" applyBorder="1" applyAlignment="1">
      <alignment horizontal="left" vertical="center" wrapText="1"/>
    </xf>
    <xf numFmtId="0" fontId="4" fillId="0" borderId="76" xfId="0" applyFont="1" applyBorder="1" applyAlignment="1">
      <alignment vertical="center"/>
    </xf>
    <xf numFmtId="164" fontId="17" fillId="0" borderId="38" xfId="2" applyNumberFormat="1" applyFont="1" applyFill="1" applyBorder="1" applyAlignment="1">
      <alignment horizontal="center" vertical="center" wrapText="1"/>
    </xf>
    <xf numFmtId="164" fontId="17" fillId="0" borderId="32" xfId="2" applyNumberFormat="1" applyFont="1" applyFill="1" applyBorder="1" applyAlignment="1">
      <alignment horizontal="center" vertical="center" wrapText="1"/>
    </xf>
    <xf numFmtId="164" fontId="17" fillId="0" borderId="35" xfId="2" applyNumberFormat="1" applyFont="1" applyFill="1" applyBorder="1" applyAlignment="1">
      <alignment horizontal="center" vertical="center" wrapText="1"/>
    </xf>
    <xf numFmtId="164" fontId="17" fillId="0" borderId="41" xfId="2" applyNumberFormat="1" applyFont="1" applyFill="1" applyBorder="1" applyAlignment="1">
      <alignment horizontal="center" vertical="center" wrapText="1"/>
    </xf>
    <xf numFmtId="164" fontId="17" fillId="0" borderId="47" xfId="2" applyNumberFormat="1" applyFont="1" applyFill="1" applyBorder="1" applyAlignment="1">
      <alignment horizontal="center" vertical="center" wrapText="1"/>
    </xf>
    <xf numFmtId="164" fontId="17" fillId="0" borderId="44" xfId="2" applyNumberFormat="1" applyFont="1" applyFill="1" applyBorder="1" applyAlignment="1">
      <alignment horizontal="center" vertical="center" wrapText="1"/>
    </xf>
    <xf numFmtId="164" fontId="17" fillId="0" borderId="54" xfId="2" applyNumberFormat="1" applyFont="1" applyFill="1" applyBorder="1" applyAlignment="1">
      <alignment horizontal="center" vertical="center" wrapText="1"/>
    </xf>
    <xf numFmtId="164" fontId="17" fillId="0" borderId="57" xfId="2" applyNumberFormat="1" applyFont="1" applyFill="1" applyBorder="1" applyAlignment="1">
      <alignment horizontal="center" vertical="center" wrapText="1"/>
    </xf>
    <xf numFmtId="164" fontId="17" fillId="0" borderId="60" xfId="2" applyNumberFormat="1" applyFont="1" applyFill="1" applyBorder="1" applyAlignment="1">
      <alignment horizontal="center" vertical="center" wrapText="1"/>
    </xf>
    <xf numFmtId="164" fontId="17" fillId="0" borderId="63" xfId="2" applyNumberFormat="1" applyFont="1" applyFill="1" applyBorder="1" applyAlignment="1">
      <alignment horizontal="center" vertical="center" wrapText="1"/>
    </xf>
    <xf numFmtId="164" fontId="32" fillId="0" borderId="44" xfId="2" applyNumberFormat="1" applyFont="1" applyFill="1" applyBorder="1" applyAlignment="1">
      <alignment horizontal="center" vertical="center" wrapText="1"/>
    </xf>
    <xf numFmtId="164" fontId="32" fillId="0" borderId="32" xfId="2" applyNumberFormat="1" applyFont="1" applyFill="1" applyBorder="1" applyAlignment="1">
      <alignment horizontal="center" vertical="center" wrapText="1"/>
    </xf>
    <xf numFmtId="164" fontId="32" fillId="0" borderId="35" xfId="2" applyNumberFormat="1" applyFont="1" applyFill="1" applyBorder="1" applyAlignment="1">
      <alignment horizontal="center" vertical="center" wrapText="1"/>
    </xf>
    <xf numFmtId="164" fontId="32" fillId="0" borderId="38" xfId="2" applyNumberFormat="1" applyFont="1" applyFill="1" applyBorder="1" applyAlignment="1">
      <alignment horizontal="center" vertical="center" wrapText="1"/>
    </xf>
    <xf numFmtId="164" fontId="32" fillId="0" borderId="41" xfId="2" applyNumberFormat="1" applyFont="1" applyFill="1" applyBorder="1" applyAlignment="1">
      <alignment horizontal="center" vertical="center" wrapText="1"/>
    </xf>
    <xf numFmtId="164" fontId="32" fillId="0" borderId="47" xfId="2" applyNumberFormat="1" applyFont="1" applyFill="1" applyBorder="1" applyAlignment="1">
      <alignment horizontal="center" vertical="center" wrapText="1"/>
    </xf>
    <xf numFmtId="164" fontId="32" fillId="0" borderId="50" xfId="2" applyNumberFormat="1" applyFont="1" applyFill="1" applyBorder="1" applyAlignment="1">
      <alignment horizontal="center" vertical="center" wrapText="1"/>
    </xf>
    <xf numFmtId="49" fontId="16" fillId="0" borderId="69" xfId="0" applyNumberFormat="1" applyFont="1" applyBorder="1" applyAlignment="1">
      <alignment horizontal="left" vertical="center" shrinkToFit="1"/>
    </xf>
    <xf numFmtId="49" fontId="27" fillId="0" borderId="77" xfId="2" applyNumberFormat="1" applyFont="1" applyFill="1" applyBorder="1" applyAlignment="1">
      <alignment horizontal="left" vertical="center" wrapText="1"/>
    </xf>
    <xf numFmtId="49" fontId="16" fillId="0" borderId="78" xfId="0" applyNumberFormat="1" applyFont="1" applyBorder="1" applyAlignment="1">
      <alignment horizontal="left" vertical="center" wrapText="1"/>
    </xf>
    <xf numFmtId="164" fontId="32" fillId="0" borderId="78" xfId="2" applyNumberFormat="1" applyFont="1" applyFill="1" applyBorder="1" applyAlignment="1">
      <alignment horizontal="center" vertical="center" wrapText="1"/>
    </xf>
    <xf numFmtId="165" fontId="16" fillId="0" borderId="79" xfId="0" applyNumberFormat="1" applyFont="1" applyFill="1" applyBorder="1" applyAlignment="1" applyProtection="1">
      <alignment horizontal="right" vertical="center"/>
      <protection hidden="1"/>
    </xf>
    <xf numFmtId="49" fontId="27" fillId="0" borderId="68" xfId="2" applyNumberFormat="1" applyFont="1" applyFill="1" applyBorder="1" applyAlignment="1">
      <alignment horizontal="left" vertical="center" shrinkToFit="1"/>
    </xf>
    <xf numFmtId="164" fontId="32" fillId="0" borderId="38" xfId="2" applyNumberFormat="1" applyFont="1" applyFill="1" applyBorder="1" applyAlignment="1" applyProtection="1">
      <alignment horizontal="center" vertical="center" wrapText="1"/>
      <protection hidden="1"/>
    </xf>
    <xf numFmtId="164" fontId="32" fillId="0" borderId="32" xfId="2" applyNumberFormat="1" applyFont="1" applyFill="1" applyBorder="1" applyAlignment="1" applyProtection="1">
      <alignment horizontal="center" vertical="center" wrapText="1"/>
      <protection hidden="1"/>
    </xf>
    <xf numFmtId="164" fontId="32" fillId="0" borderId="35" xfId="2" applyNumberFormat="1" applyFont="1" applyFill="1" applyBorder="1" applyAlignment="1" applyProtection="1">
      <alignment horizontal="center" vertical="center" wrapText="1"/>
      <protection hidden="1"/>
    </xf>
    <xf numFmtId="164" fontId="32" fillId="0" borderId="41" xfId="2" applyNumberFormat="1" applyFont="1" applyFill="1" applyBorder="1" applyAlignment="1" applyProtection="1">
      <alignment horizontal="center" vertical="center" wrapText="1"/>
      <protection hidden="1"/>
    </xf>
    <xf numFmtId="3" fontId="16" fillId="3" borderId="78" xfId="0" applyNumberFormat="1" applyFont="1" applyFill="1" applyBorder="1" applyAlignment="1" applyProtection="1">
      <alignment horizontal="right" vertical="center" shrinkToFit="1"/>
      <protection hidden="1"/>
    </xf>
    <xf numFmtId="49" fontId="18" fillId="0" borderId="37" xfId="2" applyNumberFormat="1" applyFont="1" applyFill="1" applyBorder="1" applyAlignment="1">
      <alignment horizontal="left" vertical="center" wrapText="1"/>
    </xf>
    <xf numFmtId="49" fontId="18" fillId="0" borderId="38" xfId="0" applyNumberFormat="1" applyFont="1" applyBorder="1" applyAlignment="1">
      <alignment horizontal="left" vertical="center" wrapText="1"/>
    </xf>
    <xf numFmtId="3" fontId="62" fillId="11" borderId="39" xfId="0" applyNumberFormat="1" applyFont="1" applyFill="1" applyBorder="1" applyAlignment="1" applyProtection="1">
      <alignment vertical="center" wrapText="1"/>
      <protection locked="0"/>
    </xf>
    <xf numFmtId="49" fontId="18" fillId="0" borderId="31" xfId="2" applyNumberFormat="1" applyFont="1" applyFill="1" applyBorder="1" applyAlignment="1">
      <alignment horizontal="left" vertical="center" wrapText="1"/>
    </xf>
    <xf numFmtId="49" fontId="18" fillId="0" borderId="32" xfId="0" applyNumberFormat="1" applyFont="1" applyBorder="1" applyAlignment="1">
      <alignment horizontal="left" vertical="center" wrapText="1"/>
    </xf>
    <xf numFmtId="3" fontId="62" fillId="12" borderId="33" xfId="0" applyNumberFormat="1" applyFont="1" applyFill="1" applyBorder="1" applyAlignment="1" applyProtection="1">
      <alignment vertical="center" wrapText="1"/>
    </xf>
    <xf numFmtId="3" fontId="62" fillId="11" borderId="33" xfId="0" applyNumberFormat="1" applyFont="1" applyFill="1" applyBorder="1" applyAlignment="1" applyProtection="1">
      <alignment vertical="center" wrapText="1"/>
      <protection locked="0"/>
    </xf>
    <xf numFmtId="49" fontId="16" fillId="0" borderId="31" xfId="2" applyNumberFormat="1" applyFont="1" applyFill="1" applyBorder="1" applyAlignment="1">
      <alignment horizontal="left" vertical="center" wrapText="1"/>
    </xf>
    <xf numFmtId="49" fontId="63" fillId="0" borderId="31" xfId="2" applyNumberFormat="1" applyFont="1" applyFill="1" applyBorder="1" applyAlignment="1" applyProtection="1">
      <alignment horizontal="left" vertical="center" wrapText="1"/>
    </xf>
    <xf numFmtId="49" fontId="61" fillId="0" borderId="31" xfId="2" applyNumberFormat="1" applyFont="1" applyFill="1" applyBorder="1" applyAlignment="1" applyProtection="1">
      <alignment horizontal="left" vertical="center" wrapText="1"/>
    </xf>
    <xf numFmtId="49" fontId="64" fillId="0" borderId="31" xfId="2" applyNumberFormat="1" applyFont="1" applyFill="1" applyBorder="1" applyAlignment="1" applyProtection="1">
      <alignment horizontal="left" vertical="center" wrapText="1"/>
    </xf>
    <xf numFmtId="3" fontId="62" fillId="11" borderId="36" xfId="0" applyNumberFormat="1" applyFont="1" applyFill="1" applyBorder="1" applyAlignment="1" applyProtection="1">
      <alignment vertical="center" wrapText="1"/>
      <protection locked="0"/>
    </xf>
    <xf numFmtId="49" fontId="16" fillId="0" borderId="32" xfId="0" applyNumberFormat="1" applyFont="1" applyBorder="1" applyAlignment="1">
      <alignment horizontal="left" vertical="center" wrapText="1" indent="1"/>
    </xf>
    <xf numFmtId="49" fontId="16" fillId="0" borderId="32" xfId="0" applyNumberFormat="1" applyFont="1" applyFill="1" applyBorder="1" applyAlignment="1">
      <alignment horizontal="left" vertical="center" wrapText="1" indent="1"/>
    </xf>
    <xf numFmtId="49" fontId="16" fillId="0" borderId="35" xfId="0" applyNumberFormat="1" applyFont="1" applyBorder="1" applyAlignment="1">
      <alignment horizontal="left" vertical="center" wrapText="1" indent="1"/>
    </xf>
    <xf numFmtId="49" fontId="16" fillId="0" borderId="34" xfId="2" applyNumberFormat="1" applyFont="1" applyFill="1" applyBorder="1" applyAlignment="1">
      <alignment horizontal="left" vertical="center" wrapText="1"/>
    </xf>
    <xf numFmtId="164" fontId="67" fillId="0" borderId="38" xfId="2" applyNumberFormat="1" applyFont="1" applyFill="1" applyBorder="1" applyAlignment="1" applyProtection="1">
      <alignment horizontal="center" vertical="center" wrapText="1"/>
    </xf>
    <xf numFmtId="164" fontId="67" fillId="0" borderId="32" xfId="2" applyNumberFormat="1" applyFont="1" applyFill="1" applyBorder="1" applyAlignment="1" applyProtection="1">
      <alignment horizontal="center" vertical="center" wrapText="1"/>
    </xf>
    <xf numFmtId="164" fontId="67" fillId="0" borderId="35" xfId="2" applyNumberFormat="1" applyFont="1" applyFill="1" applyBorder="1" applyAlignment="1" applyProtection="1">
      <alignment horizontal="center" vertical="center" wrapText="1"/>
    </xf>
    <xf numFmtId="49" fontId="18" fillId="0" borderId="32" xfId="0" applyNumberFormat="1" applyFont="1" applyBorder="1" applyAlignment="1">
      <alignment horizontal="left" vertical="center" wrapText="1" shrinkToFit="1"/>
    </xf>
    <xf numFmtId="49" fontId="65" fillId="0" borderId="31" xfId="2" applyNumberFormat="1" applyFont="1" applyFill="1" applyBorder="1" applyAlignment="1">
      <alignment horizontal="left" vertical="center" wrapText="1"/>
    </xf>
    <xf numFmtId="49" fontId="68" fillId="0" borderId="31" xfId="2" applyNumberFormat="1" applyFont="1" applyFill="1" applyBorder="1" applyAlignment="1" applyProtection="1">
      <alignment horizontal="left" vertical="center" wrapText="1"/>
    </xf>
    <xf numFmtId="0" fontId="8" fillId="0" borderId="0" xfId="0" applyFont="1" applyAlignment="1" applyProtection="1">
      <alignment horizontal="left" vertical="center" shrinkToFit="1"/>
      <protection hidden="1"/>
    </xf>
    <xf numFmtId="0" fontId="0" fillId="0" borderId="0" xfId="0" applyAlignment="1">
      <alignment horizontal="left" vertical="center" shrinkToFit="1"/>
    </xf>
    <xf numFmtId="3" fontId="16" fillId="3" borderId="72" xfId="0" applyNumberFormat="1" applyFont="1" applyFill="1" applyBorder="1" applyAlignment="1" applyProtection="1">
      <alignment horizontal="right" vertical="center" shrinkToFit="1"/>
      <protection hidden="1"/>
    </xf>
    <xf numFmtId="1" fontId="4" fillId="0" borderId="8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81" xfId="0" applyNumberFormat="1" applyFont="1" applyFill="1" applyBorder="1" applyProtection="1"/>
    <xf numFmtId="1" fontId="4" fillId="0" borderId="82" xfId="0" applyNumberFormat="1" applyFont="1" applyFill="1" applyBorder="1" applyAlignment="1" applyProtection="1"/>
    <xf numFmtId="1" fontId="4" fillId="0" borderId="83" xfId="0" applyNumberFormat="1" applyFont="1" applyFill="1" applyBorder="1" applyAlignment="1" applyProtection="1"/>
    <xf numFmtId="2" fontId="4" fillId="0" borderId="83" xfId="0" applyNumberFormat="1" applyFont="1" applyFill="1" applyBorder="1" applyProtection="1"/>
    <xf numFmtId="2" fontId="4" fillId="0" borderId="84" xfId="0" applyNumberFormat="1" applyFont="1" applyFill="1" applyBorder="1" applyProtection="1"/>
    <xf numFmtId="1" fontId="4" fillId="0" borderId="0" xfId="0" applyNumberFormat="1" applyFont="1" applyFill="1" applyBorder="1" applyProtection="1"/>
    <xf numFmtId="1" fontId="4" fillId="0" borderId="83" xfId="0" applyNumberFormat="1" applyFont="1" applyFill="1" applyBorder="1" applyProtection="1"/>
    <xf numFmtId="1" fontId="4" fillId="13" borderId="85" xfId="0" applyNumberFormat="1" applyFont="1" applyFill="1" applyBorder="1" applyAlignment="1" applyProtection="1"/>
    <xf numFmtId="1" fontId="4" fillId="13" borderId="86" xfId="0" applyNumberFormat="1" applyFont="1" applyFill="1" applyBorder="1" applyAlignment="1" applyProtection="1"/>
    <xf numFmtId="2" fontId="4" fillId="13" borderId="86" xfId="0" applyNumberFormat="1" applyFont="1" applyFill="1" applyBorder="1" applyProtection="1"/>
    <xf numFmtId="2" fontId="4" fillId="13" borderId="87" xfId="0" applyNumberFormat="1" applyFont="1" applyFill="1" applyBorder="1" applyProtection="1"/>
    <xf numFmtId="1" fontId="4" fillId="14" borderId="80" xfId="0" applyNumberFormat="1" applyFont="1" applyFill="1" applyBorder="1" applyAlignment="1" applyProtection="1"/>
    <xf numFmtId="1" fontId="4" fillId="14" borderId="0" xfId="0" applyNumberFormat="1" applyFont="1" applyFill="1" applyBorder="1" applyAlignment="1" applyProtection="1"/>
    <xf numFmtId="2" fontId="4" fillId="14" borderId="0" xfId="0" applyNumberFormat="1" applyFont="1" applyFill="1" applyBorder="1" applyProtection="1"/>
    <xf numFmtId="2" fontId="4" fillId="14" borderId="81" xfId="0" applyNumberFormat="1" applyFont="1" applyFill="1" applyBorder="1" applyProtection="1"/>
    <xf numFmtId="1" fontId="4" fillId="14" borderId="82" xfId="0" applyNumberFormat="1" applyFont="1" applyFill="1" applyBorder="1" applyAlignment="1" applyProtection="1"/>
    <xf numFmtId="1" fontId="4" fillId="14" borderId="83" xfId="0" applyNumberFormat="1" applyFont="1" applyFill="1" applyBorder="1" applyAlignment="1" applyProtection="1"/>
    <xf numFmtId="2" fontId="4" fillId="14" borderId="83" xfId="0" applyNumberFormat="1" applyFont="1" applyFill="1" applyBorder="1" applyProtection="1"/>
    <xf numFmtId="2" fontId="4" fillId="14" borderId="84" xfId="0" applyNumberFormat="1" applyFont="1" applyFill="1" applyBorder="1" applyProtection="1"/>
    <xf numFmtId="1" fontId="4" fillId="13" borderId="86" xfId="0" applyNumberFormat="1" applyFont="1" applyFill="1" applyBorder="1" applyProtection="1"/>
    <xf numFmtId="1" fontId="4" fillId="14" borderId="83" xfId="0" applyNumberFormat="1" applyFont="1" applyFill="1" applyBorder="1" applyProtection="1"/>
    <xf numFmtId="1" fontId="4" fillId="13" borderId="85" xfId="0" applyNumberFormat="1" applyFont="1" applyFill="1" applyBorder="1" applyProtection="1"/>
    <xf numFmtId="1" fontId="4" fillId="0" borderId="80" xfId="0" applyNumberFormat="1" applyFont="1" applyFill="1" applyBorder="1" applyProtection="1"/>
    <xf numFmtId="1" fontId="4" fillId="14" borderId="82" xfId="0" applyNumberFormat="1" applyFont="1" applyFill="1" applyBorder="1" applyProtection="1"/>
    <xf numFmtId="3" fontId="4" fillId="0" borderId="33" xfId="0" applyNumberFormat="1" applyFont="1" applyBorder="1" applyAlignment="1" applyProtection="1">
      <alignment vertical="center" shrinkToFit="1"/>
      <protection locked="0"/>
    </xf>
    <xf numFmtId="3" fontId="4" fillId="0" borderId="36" xfId="0" applyNumberFormat="1" applyFont="1" applyBorder="1" applyAlignment="1" applyProtection="1">
      <alignment vertical="center" shrinkToFit="1"/>
      <protection locked="0"/>
    </xf>
    <xf numFmtId="3" fontId="16" fillId="0" borderId="38" xfId="0" applyNumberFormat="1" applyFont="1" applyFill="1" applyBorder="1" applyAlignment="1" applyProtection="1">
      <alignment vertical="center" shrinkToFit="1"/>
      <protection locked="0"/>
    </xf>
    <xf numFmtId="3" fontId="0" fillId="0" borderId="26" xfId="0" quotePrefix="1" applyNumberFormat="1" applyFill="1" applyBorder="1"/>
    <xf numFmtId="0" fontId="17" fillId="0" borderId="8" xfId="0" applyFont="1" applyFill="1" applyBorder="1" applyAlignment="1" applyProtection="1">
      <alignment vertical="center" wrapText="1"/>
      <protection hidden="1"/>
    </xf>
    <xf numFmtId="0" fontId="57" fillId="0" borderId="7" xfId="0" applyNumberFormat="1" applyFont="1" applyFill="1" applyBorder="1" applyAlignment="1" applyProtection="1">
      <alignment vertical="center" wrapText="1"/>
      <protection hidden="1"/>
    </xf>
    <xf numFmtId="49" fontId="57" fillId="0" borderId="8" xfId="0" applyNumberFormat="1" applyFont="1" applyFill="1" applyBorder="1" applyAlignment="1" applyProtection="1">
      <alignment vertical="center" wrapText="1"/>
      <protection hidden="1"/>
    </xf>
    <xf numFmtId="0" fontId="57" fillId="0" borderId="8" xfId="0" applyNumberFormat="1" applyFont="1" applyFill="1" applyBorder="1" applyAlignment="1" applyProtection="1">
      <alignment horizontal="left" vertical="center" wrapText="1"/>
      <protection hidden="1"/>
    </xf>
    <xf numFmtId="2" fontId="0" fillId="0" borderId="0" xfId="0" applyNumberFormat="1" applyFill="1" applyAlignment="1"/>
    <xf numFmtId="0" fontId="57" fillId="0" borderId="7" xfId="0" applyNumberFormat="1" applyFont="1" applyBorder="1" applyAlignment="1" applyProtection="1">
      <alignment horizontal="left" vertical="center" wrapText="1"/>
      <protection hidden="1"/>
    </xf>
    <xf numFmtId="0" fontId="57" fillId="0" borderId="8" xfId="0" applyNumberFormat="1" applyFont="1" applyBorder="1" applyAlignment="1" applyProtection="1">
      <alignment horizontal="left" vertical="center" wrapText="1"/>
      <protection hidden="1"/>
    </xf>
    <xf numFmtId="1" fontId="4" fillId="0" borderId="88" xfId="0" applyNumberFormat="1" applyFont="1" applyFill="1" applyBorder="1" applyAlignment="1">
      <alignment horizontal="center" vertical="center"/>
    </xf>
    <xf numFmtId="1" fontId="4" fillId="0" borderId="89" xfId="0" applyNumberFormat="1" applyFont="1" applyFill="1" applyBorder="1" applyAlignment="1">
      <alignment horizontal="center" vertical="center"/>
    </xf>
    <xf numFmtId="1" fontId="60" fillId="0" borderId="89" xfId="0" applyNumberFormat="1" applyFont="1" applyFill="1" applyBorder="1" applyAlignment="1">
      <alignment horizontal="center" vertical="center"/>
    </xf>
    <xf numFmtId="0" fontId="4" fillId="0" borderId="90" xfId="0" applyFont="1" applyFill="1" applyBorder="1" applyAlignment="1">
      <alignment vertical="center"/>
    </xf>
    <xf numFmtId="0" fontId="4" fillId="0" borderId="91" xfId="0" applyFont="1" applyFill="1" applyBorder="1" applyAlignment="1">
      <alignment vertical="center"/>
    </xf>
    <xf numFmtId="0" fontId="60" fillId="0" borderId="91" xfId="0" applyFont="1" applyFill="1" applyBorder="1" applyAlignment="1">
      <alignment vertical="center"/>
    </xf>
    <xf numFmtId="1" fontId="69" fillId="0" borderId="92" xfId="0" applyNumberFormat="1" applyFont="1" applyFill="1" applyBorder="1" applyAlignment="1">
      <alignment horizontal="center" vertical="center"/>
    </xf>
    <xf numFmtId="0" fontId="69" fillId="0" borderId="93" xfId="0" applyFont="1" applyFill="1" applyBorder="1" applyAlignment="1">
      <alignment vertical="center"/>
    </xf>
    <xf numFmtId="0" fontId="0" fillId="0" borderId="10" xfId="0" applyFill="1" applyBorder="1"/>
    <xf numFmtId="1" fontId="14" fillId="2" borderId="94" xfId="0" applyNumberFormat="1" applyFont="1" applyFill="1" applyBorder="1" applyAlignment="1">
      <alignment horizontal="center" vertical="center"/>
    </xf>
    <xf numFmtId="49" fontId="57" fillId="0" borderId="94" xfId="0" applyNumberFormat="1" applyFont="1" applyBorder="1" applyAlignment="1" applyProtection="1">
      <alignment horizontal="center" vertical="center" wrapText="1"/>
      <protection hidden="1"/>
    </xf>
    <xf numFmtId="1" fontId="14" fillId="2" borderId="95" xfId="0" applyNumberFormat="1" applyFont="1" applyFill="1" applyBorder="1" applyAlignment="1">
      <alignment horizontal="center" vertical="center"/>
    </xf>
    <xf numFmtId="49" fontId="57" fillId="0" borderId="95" xfId="0" applyNumberFormat="1" applyFont="1" applyBorder="1" applyAlignment="1" applyProtection="1">
      <alignment horizontal="center" vertical="center" wrapText="1"/>
      <protection hidden="1"/>
    </xf>
    <xf numFmtId="49" fontId="57" fillId="0" borderId="95" xfId="0" applyNumberFormat="1" applyFont="1" applyFill="1" applyBorder="1" applyAlignment="1" applyProtection="1">
      <alignment horizontal="left" vertical="center" wrapText="1"/>
      <protection hidden="1"/>
    </xf>
    <xf numFmtId="49" fontId="57" fillId="0" borderId="94" xfId="0" applyNumberFormat="1" applyFont="1" applyFill="1" applyBorder="1" applyAlignment="1" applyProtection="1">
      <alignment horizontal="left" vertical="center" wrapText="1"/>
      <protection hidden="1"/>
    </xf>
    <xf numFmtId="0" fontId="57" fillId="0" borderId="95" xfId="0" applyNumberFormat="1" applyFont="1" applyFill="1" applyBorder="1" applyAlignment="1" applyProtection="1">
      <alignment horizontal="left" vertical="center" wrapText="1"/>
      <protection hidden="1"/>
    </xf>
    <xf numFmtId="0" fontId="70" fillId="0" borderId="95" xfId="0" applyNumberFormat="1" applyFont="1" applyBorder="1" applyAlignment="1" applyProtection="1">
      <alignment horizontal="left" vertical="center" wrapText="1"/>
      <protection hidden="1"/>
    </xf>
    <xf numFmtId="0" fontId="60" fillId="0" borderId="0" xfId="0" applyFont="1" applyFill="1" applyBorder="1"/>
    <xf numFmtId="0" fontId="60" fillId="0" borderId="0" xfId="0" applyFont="1" applyFill="1" applyBorder="1" applyAlignment="1"/>
    <xf numFmtId="0" fontId="60" fillId="0" borderId="0" xfId="0" applyFont="1" applyFill="1" applyAlignment="1"/>
    <xf numFmtId="1" fontId="60" fillId="0" borderId="0" xfId="0" applyNumberFormat="1" applyFont="1" applyFill="1" applyAlignment="1"/>
    <xf numFmtId="3" fontId="60" fillId="0" borderId="0" xfId="0" applyNumberFormat="1" applyFont="1" applyFill="1" applyAlignment="1"/>
    <xf numFmtId="0" fontId="60" fillId="0" borderId="0" xfId="0" applyFont="1" applyFill="1"/>
    <xf numFmtId="0" fontId="69" fillId="0" borderId="3" xfId="5" applyFont="1" applyBorder="1" applyAlignment="1" applyProtection="1">
      <alignment horizontal="center" vertical="center"/>
      <protection hidden="1"/>
    </xf>
    <xf numFmtId="49" fontId="4" fillId="0" borderId="0" xfId="0" applyNumberFormat="1" applyFont="1" applyFill="1" applyProtection="1"/>
    <xf numFmtId="0" fontId="0" fillId="0" borderId="96" xfId="0" applyBorder="1" applyAlignment="1"/>
    <xf numFmtId="0" fontId="0" fillId="0" borderId="97" xfId="0" applyBorder="1" applyAlignment="1"/>
    <xf numFmtId="0" fontId="0" fillId="0" borderId="98" xfId="0" applyBorder="1" applyAlignment="1"/>
    <xf numFmtId="0" fontId="0" fillId="0" borderId="99" xfId="0" applyBorder="1" applyAlignment="1"/>
    <xf numFmtId="0" fontId="69" fillId="0" borderId="98" xfId="0" applyFont="1" applyBorder="1" applyAlignment="1"/>
    <xf numFmtId="0" fontId="69" fillId="0" borderId="99" xfId="0" applyFont="1" applyBorder="1" applyAlignment="1"/>
    <xf numFmtId="0" fontId="60" fillId="0" borderId="98" xfId="0" applyFont="1" applyBorder="1" applyAlignment="1"/>
    <xf numFmtId="0" fontId="60" fillId="0" borderId="99" xfId="0" applyFont="1" applyBorder="1" applyAlignment="1"/>
    <xf numFmtId="0" fontId="4" fillId="0" borderId="98" xfId="0" applyFont="1" applyBorder="1" applyAlignment="1"/>
    <xf numFmtId="0" fontId="4" fillId="0" borderId="99" xfId="0" applyFont="1" applyBorder="1" applyAlignment="1"/>
    <xf numFmtId="0" fontId="4" fillId="0" borderId="100" xfId="0" applyFont="1" applyBorder="1" applyAlignment="1"/>
    <xf numFmtId="0" fontId="4" fillId="0" borderId="101" xfId="0" applyFont="1" applyBorder="1" applyAlignment="1"/>
    <xf numFmtId="167" fontId="35" fillId="3" borderId="6" xfId="0" quotePrefix="1" applyNumberFormat="1" applyFont="1" applyFill="1" applyBorder="1" applyAlignment="1" applyProtection="1">
      <alignment horizontal="center" vertical="center"/>
      <protection locked="0"/>
    </xf>
    <xf numFmtId="169" fontId="35" fillId="3" borderId="6" xfId="0" quotePrefix="1" applyNumberFormat="1" applyFont="1" applyFill="1" applyBorder="1" applyAlignment="1" applyProtection="1">
      <alignment horizontal="center" vertical="center"/>
      <protection locked="0"/>
    </xf>
    <xf numFmtId="0" fontId="17" fillId="2" borderId="20" xfId="0" applyFont="1" applyFill="1" applyBorder="1" applyAlignment="1" applyProtection="1">
      <alignment vertical="center" wrapText="1"/>
      <protection hidden="1"/>
    </xf>
    <xf numFmtId="0" fontId="0" fillId="0" borderId="30" xfId="0" applyBorder="1" applyAlignment="1">
      <alignment wrapText="1"/>
    </xf>
    <xf numFmtId="0" fontId="41" fillId="4" borderId="20" xfId="0" applyFont="1" applyFill="1" applyBorder="1" applyAlignment="1">
      <alignment horizontal="right"/>
    </xf>
    <xf numFmtId="0" fontId="0" fillId="0" borderId="30" xfId="0" applyBorder="1" applyAlignment="1"/>
    <xf numFmtId="0" fontId="5" fillId="2" borderId="20" xfId="0" applyFont="1" applyFill="1" applyBorder="1" applyAlignment="1">
      <alignment horizontal="center"/>
    </xf>
    <xf numFmtId="0" fontId="57" fillId="0" borderId="80" xfId="0" applyFont="1" applyBorder="1" applyAlignment="1" applyProtection="1">
      <alignment vertical="center" wrapText="1"/>
      <protection hidden="1"/>
    </xf>
    <xf numFmtId="0" fontId="0" fillId="0" borderId="81" xfId="0" applyBorder="1" applyAlignment="1">
      <alignment wrapText="1"/>
    </xf>
    <xf numFmtId="0" fontId="58" fillId="0" borderId="80" xfId="0" applyFont="1" applyBorder="1" applyAlignment="1" applyProtection="1">
      <alignment vertical="center" wrapText="1"/>
      <protection hidden="1"/>
    </xf>
    <xf numFmtId="0" fontId="17" fillId="0" borderId="80" xfId="0" applyFont="1" applyBorder="1" applyAlignment="1" applyProtection="1">
      <alignment vertical="center" wrapText="1"/>
      <protection hidden="1"/>
    </xf>
    <xf numFmtId="0" fontId="3" fillId="15" borderId="85" xfId="0" applyFont="1" applyFill="1" applyBorder="1" applyAlignment="1" applyProtection="1">
      <alignment horizontal="left" vertical="top" wrapText="1"/>
      <protection hidden="1"/>
    </xf>
    <xf numFmtId="0" fontId="4" fillId="15" borderId="87" xfId="0" applyFont="1" applyFill="1" applyBorder="1" applyAlignment="1">
      <alignment vertical="top" wrapText="1"/>
    </xf>
    <xf numFmtId="0" fontId="57" fillId="14" borderId="80" xfId="0" applyFont="1" applyFill="1" applyBorder="1" applyAlignment="1" applyProtection="1">
      <alignment vertical="center" wrapText="1"/>
      <protection hidden="1"/>
    </xf>
    <xf numFmtId="0" fontId="0" fillId="14" borderId="81" xfId="0" applyFill="1" applyBorder="1" applyAlignment="1">
      <alignment wrapText="1"/>
    </xf>
    <xf numFmtId="0" fontId="17" fillId="0" borderId="81" xfId="0" applyFont="1" applyBorder="1" applyAlignment="1">
      <alignment wrapText="1"/>
    </xf>
    <xf numFmtId="49" fontId="26" fillId="0" borderId="104" xfId="0" applyNumberFormat="1" applyFont="1" applyFill="1" applyBorder="1" applyAlignment="1" applyProtection="1">
      <alignment horizontal="center" vertical="center" wrapText="1"/>
      <protection hidden="1"/>
    </xf>
    <xf numFmtId="0" fontId="0" fillId="0" borderId="105" xfId="0" applyBorder="1" applyAlignment="1">
      <alignment horizontal="center" vertical="center" wrapText="1"/>
    </xf>
    <xf numFmtId="0" fontId="0" fillId="0" borderId="6" xfId="0" applyBorder="1" applyAlignment="1">
      <alignment horizontal="center" vertical="center" wrapText="1"/>
    </xf>
    <xf numFmtId="49" fontId="17" fillId="0" borderId="27" xfId="0" applyNumberFormat="1" applyFont="1" applyBorder="1" applyAlignment="1" applyProtection="1">
      <alignment horizontal="left" vertical="center"/>
      <protection hidden="1"/>
    </xf>
    <xf numFmtId="0" fontId="17" fillId="0" borderId="111" xfId="0" applyNumberFormat="1" applyFont="1" applyBorder="1" applyAlignment="1" applyProtection="1">
      <alignment horizontal="left" vertical="center"/>
      <protection hidden="1"/>
    </xf>
    <xf numFmtId="0" fontId="17" fillId="0" borderId="112"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0" fontId="17" fillId="0" borderId="107" xfId="0" applyNumberFormat="1" applyFont="1" applyBorder="1" applyAlignment="1" applyProtection="1">
      <alignment horizontal="left" vertical="center"/>
      <protection hidden="1"/>
    </xf>
    <xf numFmtId="0" fontId="17" fillId="0" borderId="108"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0" fontId="17" fillId="0" borderId="109" xfId="0" applyNumberFormat="1" applyFont="1" applyBorder="1" applyAlignment="1" applyProtection="1">
      <alignment horizontal="left" vertical="center"/>
      <protection hidden="1"/>
    </xf>
    <xf numFmtId="0" fontId="17" fillId="0" borderId="110" xfId="0" applyNumberFormat="1" applyFont="1" applyBorder="1" applyAlignment="1" applyProtection="1">
      <alignment horizontal="left" vertical="center"/>
      <protection hidden="1"/>
    </xf>
    <xf numFmtId="49" fontId="17" fillId="0" borderId="0" xfId="0" applyNumberFormat="1" applyFont="1" applyFill="1" applyBorder="1" applyAlignment="1" applyProtection="1">
      <alignment horizontal="center" vertical="top"/>
    </xf>
    <xf numFmtId="49" fontId="35" fillId="3" borderId="82" xfId="0" applyNumberFormat="1" applyFont="1" applyFill="1" applyBorder="1" applyAlignment="1" applyProtection="1">
      <alignment horizontal="left" vertical="center" shrinkToFit="1"/>
      <protection locked="0"/>
    </xf>
    <xf numFmtId="0" fontId="4" fillId="0" borderId="83" xfId="0" applyFont="1" applyBorder="1" applyAlignment="1" applyProtection="1">
      <alignment horizontal="left" vertical="center" shrinkToFit="1"/>
      <protection locked="0"/>
    </xf>
    <xf numFmtId="0" fontId="4" fillId="0" borderId="84" xfId="0" applyFont="1" applyBorder="1" applyAlignment="1" applyProtection="1">
      <alignment horizontal="left" vertical="center" shrinkToFit="1"/>
      <protection locked="0"/>
    </xf>
    <xf numFmtId="49" fontId="17" fillId="0" borderId="28" xfId="0" applyNumberFormat="1" applyFont="1" applyBorder="1" applyAlignment="1" applyProtection="1">
      <alignment horizontal="left" vertical="center"/>
      <protection hidden="1"/>
    </xf>
    <xf numFmtId="0" fontId="17" fillId="0" borderId="27" xfId="0" applyNumberFormat="1" applyFont="1" applyBorder="1" applyAlignment="1" applyProtection="1">
      <alignment horizontal="left" vertical="center"/>
      <protection hidden="1"/>
    </xf>
    <xf numFmtId="0" fontId="14" fillId="6" borderId="20" xfId="0" applyFont="1" applyFill="1" applyBorder="1" applyAlignment="1" applyProtection="1">
      <alignment horizontal="center" vertical="center" wrapText="1"/>
      <protection hidden="1"/>
    </xf>
    <xf numFmtId="0" fontId="14" fillId="6" borderId="21" xfId="0" applyFont="1" applyFill="1" applyBorder="1" applyAlignment="1" applyProtection="1">
      <alignment horizontal="center" vertical="center" wrapText="1"/>
      <protection hidden="1"/>
    </xf>
    <xf numFmtId="0" fontId="14" fillId="6" borderId="30" xfId="0" applyFont="1" applyFill="1" applyBorder="1" applyAlignment="1" applyProtection="1">
      <alignment horizontal="center" vertical="center" wrapText="1"/>
      <protection hidden="1"/>
    </xf>
    <xf numFmtId="49" fontId="36" fillId="0" borderId="0" xfId="0" applyNumberFormat="1" applyFont="1" applyFill="1" applyBorder="1" applyAlignment="1" applyProtection="1">
      <alignment horizontal="center"/>
    </xf>
    <xf numFmtId="0" fontId="0" fillId="0" borderId="0" xfId="0" applyAlignment="1"/>
    <xf numFmtId="0" fontId="2" fillId="15" borderId="20" xfId="0" applyNumberFormat="1" applyFont="1" applyFill="1" applyBorder="1" applyAlignment="1" applyProtection="1">
      <alignment vertical="center" shrinkToFit="1"/>
    </xf>
    <xf numFmtId="0" fontId="2" fillId="15" borderId="21" xfId="0" applyNumberFormat="1" applyFont="1" applyFill="1" applyBorder="1" applyAlignment="1">
      <alignment vertical="center" shrinkToFit="1"/>
    </xf>
    <xf numFmtId="0" fontId="2" fillId="15" borderId="30" xfId="0" applyNumberFormat="1" applyFont="1" applyFill="1" applyBorder="1" applyAlignment="1">
      <alignment vertical="center" shrinkToFit="1"/>
    </xf>
    <xf numFmtId="49" fontId="35" fillId="3" borderId="82" xfId="0" applyNumberFormat="1" applyFont="1" applyFill="1" applyBorder="1" applyAlignment="1" applyProtection="1">
      <alignment horizontal="center" vertical="center"/>
      <protection locked="0"/>
    </xf>
    <xf numFmtId="49" fontId="35" fillId="3" borderId="83" xfId="0" applyNumberFormat="1" applyFont="1" applyFill="1" applyBorder="1" applyAlignment="1" applyProtection="1">
      <alignment horizontal="center" vertical="center"/>
      <protection locked="0"/>
    </xf>
    <xf numFmtId="49" fontId="35" fillId="3" borderId="84" xfId="0" applyNumberFormat="1" applyFont="1" applyFill="1" applyBorder="1" applyAlignment="1" applyProtection="1">
      <alignment horizontal="center" vertical="center"/>
      <protection locked="0"/>
    </xf>
    <xf numFmtId="49" fontId="41" fillId="4" borderId="20" xfId="1" applyNumberFormat="1" applyFont="1" applyFill="1" applyBorder="1" applyAlignment="1" applyProtection="1">
      <alignment horizontal="left" vertical="center"/>
    </xf>
    <xf numFmtId="0" fontId="41" fillId="4" borderId="30" xfId="1" applyFont="1" applyFill="1" applyBorder="1" applyAlignment="1" applyProtection="1">
      <alignment horizontal="left" vertical="center"/>
    </xf>
    <xf numFmtId="49" fontId="55" fillId="4" borderId="20" xfId="1" applyNumberFormat="1" applyFont="1" applyFill="1" applyBorder="1" applyAlignment="1" applyProtection="1">
      <alignment horizontal="left" vertical="center"/>
    </xf>
    <xf numFmtId="0" fontId="55" fillId="4" borderId="30" xfId="1" applyFont="1" applyFill="1" applyBorder="1" applyAlignment="1" applyProtection="1">
      <alignment horizontal="left" vertical="center"/>
    </xf>
    <xf numFmtId="49" fontId="41" fillId="4" borderId="20" xfId="1" applyNumberFormat="1" applyFont="1" applyFill="1" applyBorder="1" applyAlignment="1" applyProtection="1">
      <alignment horizontal="left" vertical="center" shrinkToFit="1"/>
    </xf>
    <xf numFmtId="0" fontId="41" fillId="4" borderId="30" xfId="1" applyFont="1" applyFill="1" applyBorder="1" applyAlignment="1" applyProtection="1">
      <alignment horizontal="left" vertical="center" shrinkToFit="1"/>
    </xf>
    <xf numFmtId="0" fontId="26" fillId="0" borderId="86" xfId="0" applyFont="1" applyFill="1" applyBorder="1" applyAlignment="1" applyProtection="1">
      <alignment horizontal="center" vertical="center"/>
      <protection hidden="1"/>
    </xf>
    <xf numFmtId="0" fontId="26" fillId="0" borderId="86" xfId="0" applyFont="1" applyFill="1" applyBorder="1" applyAlignment="1" applyProtection="1">
      <alignment horizontal="center" vertical="top" wrapText="1"/>
      <protection hidden="1"/>
    </xf>
    <xf numFmtId="0" fontId="4" fillId="0" borderId="86" xfId="0" applyFont="1" applyBorder="1" applyAlignment="1">
      <alignment wrapText="1"/>
    </xf>
    <xf numFmtId="0" fontId="36" fillId="0" borderId="0" xfId="0" applyNumberFormat="1" applyFont="1" applyFill="1" applyBorder="1" applyAlignment="1" applyProtection="1">
      <alignment horizontal="right" vertical="top"/>
      <protection hidden="1"/>
    </xf>
    <xf numFmtId="49" fontId="17" fillId="0" borderId="29" xfId="0" applyNumberFormat="1" applyFont="1" applyBorder="1" applyAlignment="1" applyProtection="1">
      <alignment horizontal="left" vertical="center"/>
      <protection hidden="1"/>
    </xf>
    <xf numFmtId="49" fontId="17" fillId="0" borderId="104" xfId="0" applyNumberFormat="1" applyFont="1" applyFill="1" applyBorder="1" applyAlignment="1" applyProtection="1">
      <alignment horizontal="center" vertical="center" wrapText="1"/>
    </xf>
    <xf numFmtId="49" fontId="17" fillId="0" borderId="10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35" fillId="3" borderId="82" xfId="0" applyNumberFormat="1" applyFont="1" applyFill="1" applyBorder="1" applyAlignment="1" applyProtection="1">
      <alignment horizontal="left" vertical="center"/>
      <protection locked="0"/>
    </xf>
    <xf numFmtId="49" fontId="35" fillId="3" borderId="83" xfId="0" applyNumberFormat="1" applyFont="1" applyFill="1" applyBorder="1" applyAlignment="1" applyProtection="1">
      <alignment horizontal="left" vertical="center"/>
      <protection locked="0"/>
    </xf>
    <xf numFmtId="49" fontId="35" fillId="3" borderId="84" xfId="0" applyNumberFormat="1" applyFont="1" applyFill="1" applyBorder="1" applyAlignment="1" applyProtection="1">
      <alignment horizontal="left" vertical="center"/>
      <protection locked="0"/>
    </xf>
    <xf numFmtId="0" fontId="35" fillId="3" borderId="82" xfId="0" applyFont="1" applyFill="1" applyBorder="1" applyAlignment="1" applyProtection="1">
      <alignment vertical="center"/>
      <protection locked="0"/>
    </xf>
    <xf numFmtId="0" fontId="35" fillId="3" borderId="83" xfId="0" applyFont="1" applyFill="1" applyBorder="1" applyAlignment="1" applyProtection="1">
      <alignment vertical="center"/>
      <protection locked="0"/>
    </xf>
    <xf numFmtId="0" fontId="35" fillId="3" borderId="84" xfId="0" applyFont="1" applyFill="1" applyBorder="1" applyAlignment="1" applyProtection="1">
      <alignment vertical="center"/>
      <protection locked="0"/>
    </xf>
    <xf numFmtId="0" fontId="36" fillId="0" borderId="80"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0" fontId="14" fillId="4" borderId="106" xfId="1" applyFont="1" applyFill="1" applyBorder="1" applyAlignment="1" applyProtection="1">
      <alignment horizontal="center" vertical="center"/>
      <protection hidden="1"/>
    </xf>
    <xf numFmtId="0" fontId="14" fillId="4" borderId="102" xfId="1" applyFont="1" applyFill="1" applyBorder="1" applyAlignment="1" applyProtection="1">
      <alignment horizontal="center" vertical="center"/>
      <protection hidden="1"/>
    </xf>
    <xf numFmtId="0" fontId="41" fillId="4" borderId="102" xfId="1" applyFont="1" applyFill="1" applyBorder="1" applyAlignment="1" applyProtection="1">
      <alignment horizontal="center" vertical="center"/>
      <protection hidden="1"/>
    </xf>
    <xf numFmtId="0" fontId="41" fillId="4" borderId="103"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49" fontId="35" fillId="3" borderId="113" xfId="0" applyNumberFormat="1" applyFont="1" applyFill="1" applyBorder="1" applyAlignment="1" applyProtection="1">
      <alignment horizontal="left" vertical="center"/>
      <protection locked="0"/>
    </xf>
    <xf numFmtId="49" fontId="4" fillId="0" borderId="83" xfId="0" applyNumberFormat="1" applyFont="1" applyBorder="1" applyAlignment="1" applyProtection="1">
      <alignment horizontal="left" vertical="center"/>
      <protection locked="0"/>
    </xf>
    <xf numFmtId="49" fontId="4" fillId="0" borderId="8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8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4" borderId="0" xfId="0" applyNumberFormat="1" applyFont="1" applyFill="1" applyBorder="1" applyAlignment="1" applyProtection="1">
      <alignment horizontal="center" vertical="center"/>
    </xf>
    <xf numFmtId="0" fontId="8" fillId="0" borderId="0" xfId="0" applyFont="1" applyAlignment="1" applyProtection="1">
      <alignment horizontal="left" vertical="top" shrinkToFit="1"/>
      <protection hidden="1"/>
    </xf>
    <xf numFmtId="0" fontId="0" fillId="0" borderId="0" xfId="0" applyAlignment="1">
      <alignment shrinkToFit="1"/>
    </xf>
    <xf numFmtId="0" fontId="8" fillId="0" borderId="0" xfId="0" applyFont="1" applyAlignment="1" applyProtection="1">
      <alignment horizontal="left" vertical="center" shrinkToFit="1"/>
      <protection hidden="1"/>
    </xf>
    <xf numFmtId="0" fontId="0" fillId="0" borderId="0" xfId="0" applyAlignment="1">
      <alignment vertical="center" shrinkToFit="1"/>
    </xf>
    <xf numFmtId="0" fontId="30" fillId="8"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84" xfId="0" applyFont="1" applyBorder="1" applyAlignment="1">
      <alignment horizontal="left" vertical="center"/>
    </xf>
    <xf numFmtId="49" fontId="30" fillId="16" borderId="20" xfId="2" applyNumberFormat="1" applyFont="1" applyFill="1" applyBorder="1" applyAlignment="1">
      <alignment horizontal="left" vertical="center"/>
    </xf>
    <xf numFmtId="0" fontId="30" fillId="0" borderId="30" xfId="0" applyFont="1" applyBorder="1" applyAlignment="1">
      <alignment horizontal="left" vertical="center"/>
    </xf>
    <xf numFmtId="0" fontId="30" fillId="8" borderId="20" xfId="3" applyFont="1" applyFill="1" applyBorder="1" applyAlignment="1">
      <alignment horizontal="left" vertical="center"/>
    </xf>
    <xf numFmtId="0" fontId="41" fillId="4" borderId="0" xfId="1" applyFont="1" applyFill="1" applyBorder="1" applyAlignment="1" applyProtection="1">
      <alignment horizontal="left" vertical="center" wrapText="1"/>
    </xf>
    <xf numFmtId="0" fontId="41" fillId="0" borderId="0" xfId="1" applyFont="1" applyAlignment="1" applyProtection="1">
      <alignment horizontal="left" vertical="center" wrapText="1"/>
    </xf>
    <xf numFmtId="0" fontId="30" fillId="8" borderId="114" xfId="0" applyFont="1" applyFill="1" applyBorder="1" applyAlignment="1">
      <alignment horizontal="center" vertical="center" wrapText="1"/>
    </xf>
    <xf numFmtId="0" fontId="31" fillId="8" borderId="115" xfId="0" applyFont="1" applyFill="1" applyBorder="1" applyAlignment="1">
      <alignment horizontal="center" vertical="center" wrapText="1"/>
    </xf>
    <xf numFmtId="0" fontId="41" fillId="4" borderId="0" xfId="1" applyFont="1" applyFill="1" applyBorder="1" applyAlignment="1" applyProtection="1">
      <alignment horizontal="right" vertical="center"/>
    </xf>
    <xf numFmtId="0" fontId="41" fillId="0" borderId="0" xfId="1" applyFont="1" applyAlignment="1" applyProtection="1"/>
    <xf numFmtId="0" fontId="19" fillId="0" borderId="0" xfId="0" applyFont="1" applyAlignment="1" applyProtection="1">
      <alignment horizontal="center" vertical="center" wrapText="1"/>
      <protection hidden="1"/>
    </xf>
    <xf numFmtId="0" fontId="0" fillId="0" borderId="0" xfId="0" applyAlignment="1">
      <alignment horizontal="center" vertical="center" wrapText="1"/>
    </xf>
    <xf numFmtId="0" fontId="0" fillId="0" borderId="116" xfId="0" applyBorder="1" applyAlignment="1">
      <alignment horizontal="center" vertical="center" wrapText="1"/>
    </xf>
    <xf numFmtId="0" fontId="25" fillId="0" borderId="0" xfId="0" applyFont="1" applyBorder="1" applyAlignment="1" applyProtection="1">
      <alignment horizontal="center" vertical="center" wrapText="1"/>
      <protection hidden="1"/>
    </xf>
    <xf numFmtId="0" fontId="20" fillId="17" borderId="20" xfId="3" applyFont="1" applyFill="1" applyBorder="1" applyAlignment="1" applyProtection="1">
      <alignment horizontal="left" vertical="center"/>
      <protection hidden="1"/>
    </xf>
    <xf numFmtId="0" fontId="15" fillId="17" borderId="21" xfId="0" applyFont="1" applyFill="1" applyBorder="1" applyAlignment="1" applyProtection="1">
      <alignment horizontal="left" vertical="center"/>
      <protection hidden="1"/>
    </xf>
    <xf numFmtId="0" fontId="15" fillId="17" borderId="30" xfId="0" applyFont="1" applyFill="1" applyBorder="1" applyAlignment="1" applyProtection="1">
      <alignment horizontal="left" vertical="center"/>
      <protection hidden="1"/>
    </xf>
    <xf numFmtId="0" fontId="19"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1" fillId="4" borderId="117" xfId="1" applyFont="1" applyFill="1" applyBorder="1" applyAlignment="1" applyProtection="1">
      <alignment horizontal="left" vertical="center" wrapText="1"/>
    </xf>
    <xf numFmtId="0" fontId="41" fillId="0" borderId="118" xfId="1" applyFont="1" applyBorder="1" applyAlignment="1" applyProtection="1">
      <alignment horizontal="left" vertical="center" wrapText="1"/>
    </xf>
    <xf numFmtId="0" fontId="21" fillId="8" borderId="114" xfId="0" applyFont="1" applyFill="1" applyBorder="1" applyAlignment="1" applyProtection="1">
      <alignment horizontal="center" vertical="center" wrapText="1"/>
      <protection hidden="1"/>
    </xf>
    <xf numFmtId="0" fontId="0" fillId="8" borderId="115" xfId="0" applyFill="1" applyBorder="1" applyAlignment="1">
      <alignment horizontal="center" vertical="center" wrapText="1"/>
    </xf>
    <xf numFmtId="0" fontId="41" fillId="4" borderId="119" xfId="1" applyFont="1" applyFill="1" applyBorder="1" applyAlignment="1" applyProtection="1">
      <alignment horizontal="center" vertical="center" wrapText="1"/>
    </xf>
    <xf numFmtId="0" fontId="41" fillId="4" borderId="120" xfId="1" applyFont="1" applyFill="1" applyBorder="1" applyAlignment="1" applyProtection="1">
      <alignment horizontal="center" vertical="center" wrapText="1"/>
    </xf>
    <xf numFmtId="0" fontId="25" fillId="0" borderId="0" xfId="0" applyFont="1" applyBorder="1" applyAlignment="1" applyProtection="1">
      <alignment horizontal="center" vertical="top"/>
    </xf>
    <xf numFmtId="0" fontId="25" fillId="0" borderId="0" xfId="0" applyFont="1" applyAlignment="1">
      <alignment horizontal="center" vertical="top"/>
    </xf>
    <xf numFmtId="0" fontId="41" fillId="4" borderId="0" xfId="1" applyFont="1" applyFill="1" applyBorder="1" applyAlignment="1" applyProtection="1">
      <alignment horizontal="left" vertical="center"/>
    </xf>
    <xf numFmtId="0" fontId="41" fillId="0" borderId="0" xfId="1" applyFont="1" applyAlignment="1" applyProtection="1">
      <alignment horizontal="left" vertical="center"/>
    </xf>
    <xf numFmtId="0" fontId="41" fillId="4" borderId="0" xfId="1" applyFont="1" applyFill="1" applyAlignment="1" applyProtection="1">
      <alignment horizontal="center" vertical="center"/>
    </xf>
    <xf numFmtId="0" fontId="25" fillId="0" borderId="0" xfId="0" applyFont="1" applyAlignment="1" applyProtection="1">
      <alignment horizontal="center" vertical="top"/>
      <protection hidden="1"/>
    </xf>
    <xf numFmtId="0" fontId="14" fillId="8" borderId="114" xfId="0" applyFont="1" applyFill="1" applyBorder="1" applyAlignment="1">
      <alignment horizontal="center" vertical="center" wrapText="1"/>
    </xf>
    <xf numFmtId="0" fontId="15" fillId="8" borderId="115" xfId="0" applyFont="1" applyFill="1" applyBorder="1" applyAlignment="1">
      <alignment horizontal="center" vertical="center" wrapText="1"/>
    </xf>
    <xf numFmtId="0" fontId="19" fillId="0" borderId="0" xfId="0" applyFont="1" applyAlignment="1">
      <alignment horizontal="center" vertical="center"/>
    </xf>
    <xf numFmtId="0" fontId="19" fillId="0" borderId="116" xfId="0" applyFont="1" applyBorder="1" applyAlignment="1">
      <alignment horizontal="center" vertical="center"/>
    </xf>
    <xf numFmtId="0" fontId="19"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2" fillId="0" borderId="0" xfId="0" applyFont="1" applyAlignment="1">
      <alignment horizontal="center" vertical="top"/>
    </xf>
    <xf numFmtId="0" fontId="41" fillId="4" borderId="0" xfId="1" applyFont="1" applyFill="1" applyAlignment="1" applyProtection="1">
      <alignment horizontal="center" vertical="center" shrinkToFit="1"/>
    </xf>
    <xf numFmtId="0" fontId="0" fillId="0" borderId="21" xfId="0" applyBorder="1" applyAlignment="1">
      <alignment vertical="center"/>
    </xf>
    <xf numFmtId="0" fontId="0" fillId="0" borderId="30" xfId="0" applyBorder="1" applyAlignment="1">
      <alignment vertical="center"/>
    </xf>
    <xf numFmtId="0" fontId="25" fillId="0" borderId="0" xfId="0" applyFont="1" applyAlignment="1">
      <alignment horizontal="center" vertical="top" wrapText="1"/>
    </xf>
    <xf numFmtId="0" fontId="55" fillId="4" borderId="0" xfId="1" applyFont="1" applyFill="1" applyBorder="1" applyAlignment="1" applyProtection="1">
      <alignment horizontal="left" vertical="center" wrapText="1"/>
    </xf>
    <xf numFmtId="0" fontId="55" fillId="0" borderId="0" xfId="1" applyFont="1" applyAlignment="1" applyProtection="1">
      <alignment horizontal="left" vertical="center" wrapText="1"/>
    </xf>
    <xf numFmtId="0" fontId="41" fillId="4" borderId="121" xfId="1" applyFont="1" applyFill="1" applyBorder="1" applyAlignment="1" applyProtection="1">
      <alignment horizontal="right" vertical="center" wrapText="1"/>
    </xf>
    <xf numFmtId="0" fontId="41" fillId="4" borderId="0" xfId="1" applyFont="1" applyFill="1" applyBorder="1" applyAlignment="1" applyProtection="1">
      <alignment horizontal="right" vertical="center" wrapText="1"/>
    </xf>
    <xf numFmtId="0" fontId="20" fillId="8" borderId="114" xfId="0" applyFont="1" applyFill="1" applyBorder="1" applyAlignment="1">
      <alignment horizontal="center" vertical="center" wrapText="1"/>
    </xf>
    <xf numFmtId="0" fontId="30" fillId="8" borderId="115" xfId="0" applyFont="1" applyFill="1" applyBorder="1" applyAlignment="1">
      <alignment horizontal="center" vertical="center" wrapText="1"/>
    </xf>
    <xf numFmtId="0" fontId="20" fillId="8" borderId="114" xfId="0" applyFont="1" applyFill="1" applyBorder="1" applyAlignment="1" applyProtection="1">
      <alignment horizontal="center" vertical="center" wrapText="1"/>
      <protection hidden="1"/>
    </xf>
    <xf numFmtId="0" fontId="4" fillId="8" borderId="115" xfId="0" applyFont="1" applyFill="1" applyBorder="1" applyAlignment="1" applyProtection="1">
      <alignment horizontal="center" vertical="center" wrapText="1"/>
      <protection hidden="1"/>
    </xf>
    <xf numFmtId="0" fontId="25" fillId="0" borderId="0" xfId="0" applyFont="1" applyBorder="1" applyAlignment="1" applyProtection="1">
      <alignment horizontal="center" vertical="top"/>
      <protection hidden="1"/>
    </xf>
    <xf numFmtId="0" fontId="52" fillId="0" borderId="0" xfId="0" applyFont="1" applyAlignment="1" applyProtection="1">
      <alignment vertical="top"/>
      <protection hidden="1"/>
    </xf>
    <xf numFmtId="0" fontId="41" fillId="4" borderId="122" xfId="1" applyFont="1" applyFill="1" applyBorder="1" applyAlignment="1" applyProtection="1">
      <alignment horizontal="right" vertical="center"/>
    </xf>
    <xf numFmtId="0" fontId="9" fillId="4" borderId="0" xfId="1" applyFill="1" applyAlignment="1" applyProtection="1">
      <alignment horizontal="right" vertical="center" wrapText="1"/>
    </xf>
    <xf numFmtId="0" fontId="30" fillId="17" borderId="24" xfId="3" applyFont="1" applyFill="1" applyBorder="1" applyAlignment="1">
      <alignment horizontal="left" vertical="center" wrapText="1"/>
    </xf>
    <xf numFmtId="0" fontId="31" fillId="17" borderId="23" xfId="0" applyFont="1" applyFill="1" applyBorder="1" applyAlignment="1">
      <alignment horizontal="left" vertical="center"/>
    </xf>
    <xf numFmtId="0" fontId="31" fillId="17" borderId="123" xfId="0" applyFont="1" applyFill="1" applyBorder="1" applyAlignment="1">
      <alignment horizontal="left" vertical="center"/>
    </xf>
    <xf numFmtId="0" fontId="30" fillId="17" borderId="4" xfId="3" applyFont="1" applyFill="1" applyBorder="1" applyAlignment="1">
      <alignment horizontal="left" vertical="center" wrapText="1"/>
    </xf>
    <xf numFmtId="0" fontId="0" fillId="0" borderId="124" xfId="0" applyBorder="1" applyAlignment="1">
      <alignment horizontal="left" vertical="center"/>
    </xf>
    <xf numFmtId="0" fontId="0" fillId="0" borderId="125" xfId="0" applyBorder="1" applyAlignment="1">
      <alignment horizontal="left" vertical="center"/>
    </xf>
    <xf numFmtId="49" fontId="2" fillId="8" borderId="20" xfId="1" applyNumberFormat="1" applyFont="1" applyFill="1" applyBorder="1" applyAlignment="1" applyProtection="1">
      <alignment horizontal="left" vertical="center"/>
    </xf>
    <xf numFmtId="0" fontId="2" fillId="0" borderId="21" xfId="1" applyFont="1" applyBorder="1" applyAlignment="1" applyProtection="1">
      <alignment vertical="center"/>
    </xf>
    <xf numFmtId="0" fontId="2" fillId="0" borderId="30" xfId="1" applyFont="1" applyBorder="1" applyAlignment="1" applyProtection="1">
      <alignment vertical="center"/>
    </xf>
    <xf numFmtId="49" fontId="8" fillId="8" borderId="20" xfId="1" applyNumberFormat="1" applyFont="1" applyFill="1" applyBorder="1" applyAlignment="1" applyProtection="1">
      <alignment horizontal="left" vertical="center"/>
    </xf>
    <xf numFmtId="0" fontId="8" fillId="0" borderId="21" xfId="1" applyFont="1" applyBorder="1" applyAlignment="1" applyProtection="1">
      <alignment vertical="center"/>
    </xf>
    <xf numFmtId="0" fontId="8" fillId="0" borderId="30" xfId="1" applyFont="1" applyBorder="1" applyAlignment="1" applyProtection="1">
      <alignment vertical="center"/>
    </xf>
    <xf numFmtId="49" fontId="41" fillId="4" borderId="83" xfId="1" applyNumberFormat="1" applyFont="1" applyFill="1" applyBorder="1" applyAlignment="1" applyProtection="1">
      <alignment horizontal="left" vertical="center"/>
    </xf>
    <xf numFmtId="49" fontId="56" fillId="8" borderId="20" xfId="1" applyNumberFormat="1" applyFont="1" applyFill="1" applyBorder="1" applyAlignment="1" applyProtection="1">
      <alignment horizontal="left" vertical="center"/>
    </xf>
    <xf numFmtId="0" fontId="56" fillId="0" borderId="21" xfId="1" applyFont="1" applyBorder="1" applyAlignment="1" applyProtection="1">
      <alignment vertical="center"/>
    </xf>
    <xf numFmtId="0" fontId="56" fillId="0" borderId="30" xfId="1" applyFont="1" applyBorder="1" applyAlignment="1" applyProtection="1">
      <alignment vertical="center"/>
    </xf>
    <xf numFmtId="49" fontId="37" fillId="8" borderId="20" xfId="0" applyNumberFormat="1" applyFont="1" applyFill="1" applyBorder="1" applyAlignment="1">
      <alignment horizontal="left" vertical="center" wrapText="1"/>
    </xf>
    <xf numFmtId="0" fontId="15" fillId="8" borderId="21" xfId="0" applyFont="1" applyFill="1" applyBorder="1" applyAlignment="1">
      <alignment horizontal="left" vertical="center" wrapText="1"/>
    </xf>
    <xf numFmtId="0" fontId="33" fillId="8" borderId="20" xfId="6" applyFont="1" applyFill="1" applyBorder="1" applyAlignment="1">
      <alignment horizontal="center" vertical="center" wrapText="1"/>
    </xf>
    <xf numFmtId="0" fontId="33" fillId="8" borderId="21" xfId="6" applyFont="1" applyFill="1" applyBorder="1" applyAlignment="1">
      <alignment horizontal="center" vertical="center" wrapText="1"/>
    </xf>
    <xf numFmtId="0" fontId="33" fillId="8" borderId="30" xfId="6" applyFont="1" applyFill="1" applyBorder="1" applyAlignment="1">
      <alignment horizontal="center" vertical="center" wrapText="1"/>
    </xf>
    <xf numFmtId="0" fontId="4" fillId="0" borderId="111" xfId="6" applyFont="1" applyBorder="1" applyAlignment="1">
      <alignment vertical="center" wrapText="1"/>
    </xf>
    <xf numFmtId="0" fontId="4" fillId="0" borderId="112" xfId="6" applyFont="1" applyBorder="1" applyAlignment="1">
      <alignment vertical="center" wrapText="1"/>
    </xf>
    <xf numFmtId="0" fontId="47" fillId="8" borderId="10" xfId="4" applyFont="1" applyFill="1" applyBorder="1" applyAlignment="1">
      <alignment horizontal="center" vertical="center" wrapText="1"/>
    </xf>
    <xf numFmtId="0" fontId="48" fillId="8" borderId="10" xfId="0" applyFont="1" applyFill="1" applyBorder="1" applyAlignment="1">
      <alignment horizontal="center" vertical="center" wrapText="1"/>
    </xf>
    <xf numFmtId="0" fontId="3" fillId="0" borderId="4" xfId="6" applyNumberFormat="1" applyFont="1" applyBorder="1" applyAlignment="1">
      <alignment vertical="center" wrapText="1"/>
    </xf>
    <xf numFmtId="0" fontId="3" fillId="0" borderId="124" xfId="6" applyNumberFormat="1" applyFont="1" applyBorder="1" applyAlignment="1">
      <alignment vertical="center" wrapText="1"/>
    </xf>
    <xf numFmtId="0" fontId="3" fillId="0" borderId="125" xfId="6" applyNumberFormat="1" applyFont="1" applyBorder="1" applyAlignment="1">
      <alignment vertical="center" wrapText="1"/>
    </xf>
    <xf numFmtId="0" fontId="42" fillId="0" borderId="4" xfId="5" applyFont="1" applyFill="1" applyBorder="1" applyAlignment="1" applyProtection="1">
      <alignment horizontal="left" vertical="center" wrapText="1"/>
      <protection hidden="1"/>
    </xf>
    <xf numFmtId="0" fontId="42" fillId="0" borderId="3" xfId="5" applyFont="1" applyFill="1" applyBorder="1" applyAlignment="1" applyProtection="1">
      <alignment horizontal="left" vertical="center" wrapText="1"/>
      <protection hidden="1"/>
    </xf>
    <xf numFmtId="0" fontId="8" fillId="2" borderId="4" xfId="6" applyFont="1" applyFill="1" applyBorder="1" applyAlignment="1">
      <alignment horizontal="center" vertical="center"/>
    </xf>
    <xf numFmtId="0" fontId="8" fillId="2" borderId="124" xfId="6" applyFont="1" applyFill="1" applyBorder="1" applyAlignment="1">
      <alignment horizontal="center" vertical="center"/>
    </xf>
    <xf numFmtId="0" fontId="8" fillId="2" borderId="125" xfId="6" applyFont="1" applyFill="1" applyBorder="1" applyAlignment="1">
      <alignment horizontal="center" vertical="center"/>
    </xf>
    <xf numFmtId="0" fontId="8" fillId="2" borderId="4" xfId="1" applyFont="1" applyFill="1" applyBorder="1" applyAlignment="1" applyProtection="1">
      <alignment horizontal="center" vertical="center"/>
    </xf>
    <xf numFmtId="0" fontId="8" fillId="2" borderId="124" xfId="1" applyFont="1" applyFill="1" applyBorder="1" applyAlignment="1" applyProtection="1">
      <alignment horizontal="center" vertical="center"/>
    </xf>
    <xf numFmtId="0" fontId="8" fillId="2" borderId="125" xfId="1" applyFont="1" applyFill="1" applyBorder="1" applyAlignment="1" applyProtection="1">
      <alignment horizontal="center" vertical="center"/>
    </xf>
    <xf numFmtId="0" fontId="54" fillId="2" borderId="4" xfId="1" applyFont="1" applyFill="1" applyBorder="1" applyAlignment="1" applyProtection="1">
      <alignment horizontal="center" vertical="center"/>
    </xf>
    <xf numFmtId="0" fontId="54" fillId="2" borderId="125" xfId="1" applyFont="1" applyFill="1" applyBorder="1" applyAlignment="1" applyProtection="1">
      <alignment horizontal="center" vertical="center"/>
    </xf>
    <xf numFmtId="0" fontId="4" fillId="0" borderId="107" xfId="6" applyFont="1" applyBorder="1" applyAlignment="1">
      <alignment vertical="center" wrapText="1"/>
    </xf>
    <xf numFmtId="0" fontId="4" fillId="0" borderId="108" xfId="6" applyFont="1" applyBorder="1" applyAlignment="1">
      <alignment vertical="center" wrapText="1"/>
    </xf>
    <xf numFmtId="0" fontId="14" fillId="4" borderId="2" xfId="1" applyFont="1" applyFill="1" applyBorder="1" applyAlignment="1" applyProtection="1">
      <alignment vertical="center"/>
    </xf>
    <xf numFmtId="0" fontId="3" fillId="2" borderId="20" xfId="6" applyFont="1" applyFill="1" applyBorder="1" applyAlignment="1">
      <alignment horizontal="center" vertical="center" wrapText="1"/>
    </xf>
    <xf numFmtId="0" fontId="0" fillId="2" borderId="30" xfId="0" applyFill="1" applyBorder="1" applyAlignment="1">
      <alignment horizontal="center" vertical="center" wrapText="1"/>
    </xf>
    <xf numFmtId="0" fontId="54" fillId="2" borderId="20" xfId="1" applyFont="1" applyFill="1" applyBorder="1" applyAlignment="1" applyProtection="1">
      <alignment horizontal="center" vertical="center" wrapText="1"/>
    </xf>
    <xf numFmtId="0" fontId="54" fillId="2" borderId="21" xfId="1" applyFont="1" applyFill="1" applyBorder="1" applyAlignment="1" applyProtection="1">
      <alignment horizontal="center" vertical="center" wrapText="1"/>
    </xf>
    <xf numFmtId="0" fontId="54" fillId="2" borderId="30" xfId="1" applyFont="1" applyFill="1" applyBorder="1" applyAlignment="1" applyProtection="1">
      <alignment horizontal="center" vertical="center" wrapText="1"/>
    </xf>
    <xf numFmtId="0" fontId="4" fillId="0" borderId="109" xfId="6" applyFont="1" applyBorder="1" applyAlignment="1">
      <alignment vertical="center" wrapText="1"/>
    </xf>
    <xf numFmtId="0" fontId="4" fillId="0" borderId="110" xfId="6" applyFont="1" applyBorder="1" applyAlignment="1">
      <alignment vertical="center" wrapText="1"/>
    </xf>
    <xf numFmtId="0" fontId="4" fillId="0" borderId="3" xfId="5" applyFont="1" applyBorder="1" applyAlignment="1" applyProtection="1">
      <alignment vertical="center" wrapText="1"/>
      <protection hidden="1"/>
    </xf>
    <xf numFmtId="0" fontId="69" fillId="0" borderId="3" xfId="5" applyFont="1" applyBorder="1" applyAlignment="1" applyProtection="1">
      <alignment vertical="center" wrapText="1"/>
      <protection hidden="1"/>
    </xf>
    <xf numFmtId="0" fontId="17" fillId="0" borderId="3" xfId="5" applyFont="1" applyBorder="1" applyAlignment="1" applyProtection="1">
      <alignment vertical="center" wrapText="1"/>
      <protection hidden="1"/>
    </xf>
    <xf numFmtId="0" fontId="45" fillId="10" borderId="3" xfId="5" applyFont="1" applyFill="1" applyBorder="1" applyAlignment="1" applyProtection="1">
      <alignment horizontal="center" vertical="center"/>
      <protection hidden="1"/>
    </xf>
    <xf numFmtId="0" fontId="4" fillId="0" borderId="4" xfId="5" applyFont="1" applyBorder="1" applyAlignment="1" applyProtection="1">
      <alignment vertical="center" wrapText="1"/>
      <protection hidden="1"/>
    </xf>
    <xf numFmtId="0" fontId="4" fillId="0" borderId="125" xfId="5" applyFont="1" applyBorder="1" applyAlignment="1" applyProtection="1">
      <alignment vertical="center" wrapText="1"/>
      <protection hidden="1"/>
    </xf>
  </cellXfs>
  <cellStyles count="9">
    <cellStyle name="Hyperlink" xfId="1" builtinId="8"/>
    <cellStyle name="Normal" xfId="0" builtinId="0"/>
    <cellStyle name="Normal_Podaci" xfId="2"/>
    <cellStyle name="Normal_Sheet1" xfId="3"/>
    <cellStyle name="Normal_Sheet2" xfId="4"/>
    <cellStyle name="Obično_GFI-POD ver. 1.0.5" xfId="5"/>
    <cellStyle name="Obično_Knjiga2" xfId="6"/>
    <cellStyle name="Obično_List1" xfId="7"/>
    <cellStyle name="Obično_List4" xfId="8"/>
  </cellStyles>
  <dxfs count="14">
    <dxf>
      <font>
        <condense val="0"/>
        <extend val="0"/>
        <color indexed="9"/>
      </font>
      <fill>
        <patternFill>
          <bgColor indexed="12"/>
        </patternFill>
      </fill>
    </dxf>
    <dxf>
      <font>
        <b/>
        <i val="0"/>
        <condense val="0"/>
        <extend val="0"/>
        <color indexed="9"/>
      </font>
      <fill>
        <patternFill>
          <bgColor indexed="12"/>
        </patternFill>
      </fill>
    </dxf>
    <dxf>
      <font>
        <b/>
        <i val="0"/>
        <condense val="0"/>
        <extend val="0"/>
        <color indexed="9"/>
      </font>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23"/>
      </font>
      <fill>
        <patternFill patternType="solid">
          <bgColor indexed="9"/>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74</xdr:row>
      <xdr:rowOff>28575</xdr:rowOff>
    </xdr:from>
    <xdr:to>
      <xdr:col>7</xdr:col>
      <xdr:colOff>590550</xdr:colOff>
      <xdr:row>80</xdr:row>
      <xdr:rowOff>104775</xdr:rowOff>
    </xdr:to>
    <xdr:grpSp>
      <xdr:nvGrpSpPr>
        <xdr:cNvPr id="14382" name="Group 32"/>
        <xdr:cNvGrpSpPr>
          <a:grpSpLocks/>
        </xdr:cNvGrpSpPr>
      </xdr:nvGrpSpPr>
      <xdr:grpSpPr bwMode="auto">
        <a:xfrm>
          <a:off x="19050" y="12296775"/>
          <a:ext cx="5897880" cy="1082040"/>
          <a:chOff x="2" y="2944"/>
          <a:chExt cx="647" cy="100"/>
        </a:xfrm>
      </xdr:grpSpPr>
      <xdr:sp macro="" textlink="">
        <xdr:nvSpPr>
          <xdr:cNvPr id="14369" name="Rectangle 33"/>
          <xdr:cNvSpPr>
            <a:spLocks noChangeArrowheads="1"/>
          </xdr:cNvSpPr>
        </xdr:nvSpPr>
        <xdr:spPr bwMode="auto">
          <a:xfrm>
            <a:off x="2" y="2944"/>
            <a:ext cx="293"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Pečat primitka</a:t>
            </a:r>
          </a:p>
        </xdr:txBody>
      </xdr:sp>
      <xdr:sp macro="" textlink="">
        <xdr:nvSpPr>
          <xdr:cNvPr id="14370" name="Rectangle 34"/>
          <xdr:cNvSpPr>
            <a:spLocks noChangeArrowheads="1"/>
          </xdr:cNvSpPr>
        </xdr:nvSpPr>
        <xdr:spPr bwMode="auto">
          <a:xfrm>
            <a:off x="295" y="2944"/>
            <a:ext cx="176"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Datum primitka</a:t>
            </a:r>
          </a:p>
        </xdr:txBody>
      </xdr:sp>
      <xdr:sp macro="" textlink="">
        <xdr:nvSpPr>
          <xdr:cNvPr id="14371" name="Rectangle 35"/>
          <xdr:cNvSpPr>
            <a:spLocks noChangeArrowheads="1"/>
          </xdr:cNvSpPr>
        </xdr:nvSpPr>
        <xdr:spPr bwMode="auto">
          <a:xfrm>
            <a:off x="471" y="2944"/>
            <a:ext cx="178" cy="28"/>
          </a:xfrm>
          <a:prstGeom prst="rect">
            <a:avLst/>
          </a:prstGeom>
          <a:solidFill>
            <a:srgbClr val="FFFFFF"/>
          </a:solidFill>
          <a:ln w="9525">
            <a:solidFill>
              <a:srgbClr val="000000"/>
            </a:solidFill>
            <a:miter lim="800000"/>
            <a:headEnd/>
            <a:tailEnd/>
          </a:ln>
        </xdr:spPr>
        <xdr:txBody>
          <a:bodyPr vertOverflow="clip" wrap="square" lIns="36576" tIns="27432" rIns="36576" bIns="27432" anchor="ctr" upright="1"/>
          <a:lstStyle/>
          <a:p>
            <a:pPr algn="ctr" rtl="0">
              <a:defRPr sz="1000"/>
            </a:pPr>
            <a:r>
              <a:rPr lang="hr-HR" sz="1000" b="0" i="0" u="none" strike="noStrike" baseline="0">
                <a:solidFill>
                  <a:srgbClr val="000000"/>
                </a:solidFill>
                <a:latin typeface="Arial"/>
                <a:cs typeface="Arial"/>
              </a:rPr>
              <a:t>Kontrolirao</a:t>
            </a:r>
          </a:p>
        </xdr:txBody>
      </xdr:sp>
      <xdr:sp macro="" textlink="">
        <xdr:nvSpPr>
          <xdr:cNvPr id="14386" name="Rectangle 36"/>
          <xdr:cNvSpPr>
            <a:spLocks noChangeArrowheads="1"/>
          </xdr:cNvSpPr>
        </xdr:nvSpPr>
        <xdr:spPr bwMode="auto">
          <a:xfrm>
            <a:off x="2" y="2972"/>
            <a:ext cx="293" cy="72"/>
          </a:xfrm>
          <a:prstGeom prst="rect">
            <a:avLst/>
          </a:prstGeom>
          <a:solidFill>
            <a:srgbClr val="FFFFFF"/>
          </a:solidFill>
          <a:ln w="9525">
            <a:solidFill>
              <a:srgbClr val="000000"/>
            </a:solidFill>
            <a:miter lim="800000"/>
            <a:headEnd/>
            <a:tailEnd/>
          </a:ln>
        </xdr:spPr>
      </xdr:sp>
      <xdr:sp macro="" textlink="">
        <xdr:nvSpPr>
          <xdr:cNvPr id="14387" name="Rectangle 37"/>
          <xdr:cNvSpPr>
            <a:spLocks noChangeArrowheads="1"/>
          </xdr:cNvSpPr>
        </xdr:nvSpPr>
        <xdr:spPr bwMode="auto">
          <a:xfrm>
            <a:off x="295" y="2972"/>
            <a:ext cx="177" cy="72"/>
          </a:xfrm>
          <a:prstGeom prst="rect">
            <a:avLst/>
          </a:prstGeom>
          <a:solidFill>
            <a:srgbClr val="FFFFFF"/>
          </a:solidFill>
          <a:ln w="9525">
            <a:solidFill>
              <a:srgbClr val="000000"/>
            </a:solidFill>
            <a:miter lim="800000"/>
            <a:headEnd/>
            <a:tailEnd/>
          </a:ln>
        </xdr:spPr>
      </xdr:sp>
      <xdr:sp macro="" textlink="">
        <xdr:nvSpPr>
          <xdr:cNvPr id="14388" name="Rectangle 38"/>
          <xdr:cNvSpPr>
            <a:spLocks noChangeArrowheads="1"/>
          </xdr:cNvSpPr>
        </xdr:nvSpPr>
        <xdr:spPr bwMode="auto">
          <a:xfrm>
            <a:off x="472" y="2972"/>
            <a:ext cx="177" cy="72"/>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975"/>
  <sheetViews>
    <sheetView showGridLines="0" showRowColHeaders="0" workbookViewId="0"/>
  </sheetViews>
  <sheetFormatPr defaultColWidth="9.109375" defaultRowHeight="13.2" x14ac:dyDescent="0.25"/>
  <cols>
    <col min="1" max="2" width="5.109375" style="142" customWidth="1"/>
    <col min="3" max="6" width="17.5546875" style="142" customWidth="1"/>
    <col min="7" max="9" width="17.5546875" style="143" customWidth="1"/>
    <col min="10" max="10" width="17.5546875" style="141" customWidth="1"/>
    <col min="11" max="11" width="17.5546875" style="144" customWidth="1"/>
    <col min="12" max="12" width="17.5546875" style="141" customWidth="1"/>
    <col min="13" max="16384" width="9.109375" style="141"/>
  </cols>
  <sheetData>
    <row r="1" spans="1:12" x14ac:dyDescent="0.25">
      <c r="A1" s="142" t="s">
        <v>4491</v>
      </c>
      <c r="B1" s="142" t="s">
        <v>4501</v>
      </c>
      <c r="C1" s="142" t="s">
        <v>3289</v>
      </c>
      <c r="D1" s="142" t="s">
        <v>3290</v>
      </c>
      <c r="E1" s="142" t="s">
        <v>3291</v>
      </c>
      <c r="F1" s="142" t="s">
        <v>3292</v>
      </c>
      <c r="G1" s="143" t="s">
        <v>1885</v>
      </c>
      <c r="H1" s="143" t="s">
        <v>18</v>
      </c>
      <c r="I1" s="143" t="s">
        <v>4088</v>
      </c>
      <c r="J1" s="143" t="s">
        <v>1937</v>
      </c>
      <c r="K1" s="144" t="s">
        <v>1938</v>
      </c>
      <c r="L1" s="143" t="s">
        <v>1939</v>
      </c>
    </row>
    <row r="2" spans="1:12" x14ac:dyDescent="0.25">
      <c r="A2" s="383">
        <v>151</v>
      </c>
      <c r="B2" s="384">
        <f>PRRAS!C12</f>
        <v>1</v>
      </c>
      <c r="C2" s="384">
        <f>PRRAS!D12</f>
        <v>3117130</v>
      </c>
      <c r="D2" s="384">
        <f>PRRAS!E12</f>
        <v>3203693</v>
      </c>
      <c r="E2" s="384"/>
      <c r="F2" s="384"/>
      <c r="G2" s="385">
        <f>(B2/1000)*(C2*1+D2*2)</f>
        <v>9524.5159999999996</v>
      </c>
      <c r="H2" s="385">
        <f>ABS(C2-ROUND(C2,0))+ABS(D2-ROUND(D2,0))</f>
        <v>0</v>
      </c>
      <c r="I2" s="386">
        <v>0</v>
      </c>
      <c r="J2" s="141" t="s">
        <v>3245</v>
      </c>
      <c r="K2" s="144" t="str">
        <f>RefStr!B25</f>
        <v>DA</v>
      </c>
      <c r="L2" s="141">
        <f>IF(RefStr!B25="DA",1,0)</f>
        <v>1</v>
      </c>
    </row>
    <row r="3" spans="1:12" x14ac:dyDescent="0.25">
      <c r="A3" s="373">
        <v>151</v>
      </c>
      <c r="B3" s="374">
        <f>PRRAS!C13</f>
        <v>2</v>
      </c>
      <c r="C3" s="374">
        <f>PRRAS!D13</f>
        <v>1273988</v>
      </c>
      <c r="D3" s="374">
        <f>PRRAS!E13</f>
        <v>1233361</v>
      </c>
      <c r="E3" s="374"/>
      <c r="F3" s="374"/>
      <c r="G3" s="375">
        <f>(B3/1000)*(C3*1+D3*2)</f>
        <v>7481.42</v>
      </c>
      <c r="H3" s="375">
        <f>ABS(C3-ROUND(C3,0))+ABS(D3-ROUND(D3,0))</f>
        <v>0</v>
      </c>
      <c r="I3" s="376">
        <v>0</v>
      </c>
      <c r="J3" s="141" t="s">
        <v>3246</v>
      </c>
      <c r="K3" s="144" t="str">
        <f>RefStr!B27</f>
        <v>DA</v>
      </c>
      <c r="L3" s="141">
        <f>IF(RefStr!B27="DA",1,0)</f>
        <v>1</v>
      </c>
    </row>
    <row r="4" spans="1:12" x14ac:dyDescent="0.25">
      <c r="A4" s="373">
        <v>151</v>
      </c>
      <c r="B4" s="374">
        <f>PRRAS!C14</f>
        <v>3</v>
      </c>
      <c r="C4" s="374">
        <f>PRRAS!D14</f>
        <v>1171503</v>
      </c>
      <c r="D4" s="374">
        <f>PRRAS!E14</f>
        <v>1144389</v>
      </c>
      <c r="E4" s="374"/>
      <c r="F4" s="374"/>
      <c r="G4" s="375">
        <f>(B4/1000)*(C4*1+D4*2)</f>
        <v>10380.843000000001</v>
      </c>
      <c r="H4" s="375">
        <f>ABS(C4-ROUND(C4,0))+ABS(D4-ROUND(D4,0))</f>
        <v>0</v>
      </c>
      <c r="I4" s="376">
        <v>0</v>
      </c>
      <c r="J4" s="141" t="s">
        <v>3247</v>
      </c>
      <c r="K4" s="144" t="str">
        <f>RefStr!B29</f>
        <v>DA</v>
      </c>
      <c r="L4" s="141">
        <f>IF(RefStr!B29="DA",1,0)</f>
        <v>1</v>
      </c>
    </row>
    <row r="5" spans="1:12" x14ac:dyDescent="0.25">
      <c r="A5" s="373">
        <v>151</v>
      </c>
      <c r="B5" s="374">
        <f>PRRAS!C15</f>
        <v>4</v>
      </c>
      <c r="C5" s="374">
        <f>PRRAS!D15</f>
        <v>1157593</v>
      </c>
      <c r="D5" s="374">
        <f>PRRAS!E15</f>
        <v>1150022</v>
      </c>
      <c r="E5" s="374"/>
      <c r="F5" s="374"/>
      <c r="G5" s="375">
        <f t="shared" ref="G5:G68" si="0">(B5/1000)*(C5*1+D5*2)</f>
        <v>13830.548000000001</v>
      </c>
      <c r="H5" s="375">
        <f t="shared" ref="H5:H68" si="1">ABS(C5-ROUND(C5,0))+ABS(D5-ROUND(D5,0))</f>
        <v>0</v>
      </c>
      <c r="I5" s="376">
        <v>0</v>
      </c>
      <c r="J5" s="141" t="s">
        <v>3248</v>
      </c>
      <c r="K5" s="144" t="str">
        <f>IF(RefStr!B31&lt;&gt;"",RefStr!B31, "NE")</f>
        <v>DA</v>
      </c>
      <c r="L5" s="141">
        <f>IF(RefStr!B31="DA",1,0)</f>
        <v>1</v>
      </c>
    </row>
    <row r="6" spans="1:12" x14ac:dyDescent="0.25">
      <c r="A6" s="373">
        <v>151</v>
      </c>
      <c r="B6" s="374">
        <f>PRRAS!C16</f>
        <v>5</v>
      </c>
      <c r="C6" s="374">
        <f>PRRAS!D16</f>
        <v>159014</v>
      </c>
      <c r="D6" s="374">
        <f>PRRAS!E16</f>
        <v>152345</v>
      </c>
      <c r="E6" s="374"/>
      <c r="F6" s="374"/>
      <c r="G6" s="375">
        <f t="shared" si="0"/>
        <v>2318.52</v>
      </c>
      <c r="H6" s="375">
        <f t="shared" si="1"/>
        <v>0</v>
      </c>
      <c r="I6" s="376">
        <v>0</v>
      </c>
      <c r="J6" s="141" t="s">
        <v>3249</v>
      </c>
      <c r="K6" s="144" t="str">
        <f>RefStr!B33</f>
        <v>DA</v>
      </c>
      <c r="L6" s="141">
        <f>IF(RefStr!B33="DA",1,0)</f>
        <v>1</v>
      </c>
    </row>
    <row r="7" spans="1:12" x14ac:dyDescent="0.25">
      <c r="A7" s="373">
        <v>151</v>
      </c>
      <c r="B7" s="374">
        <f>PRRAS!C17</f>
        <v>6</v>
      </c>
      <c r="C7" s="374">
        <f>PRRAS!D17</f>
        <v>26162</v>
      </c>
      <c r="D7" s="374">
        <f>PRRAS!E17</f>
        <v>40801</v>
      </c>
      <c r="E7" s="374"/>
      <c r="F7" s="374"/>
      <c r="G7" s="375">
        <f t="shared" si="0"/>
        <v>646.58400000000006</v>
      </c>
      <c r="H7" s="375">
        <f t="shared" si="1"/>
        <v>0</v>
      </c>
      <c r="I7" s="376">
        <v>0</v>
      </c>
      <c r="J7" s="141" t="s">
        <v>3250</v>
      </c>
      <c r="K7" s="144" t="str">
        <f>IF(A1756=159,RefStr!B35,"NE")</f>
        <v>DA</v>
      </c>
      <c r="L7" s="141">
        <v>0</v>
      </c>
    </row>
    <row r="8" spans="1:12" x14ac:dyDescent="0.25">
      <c r="A8" s="373">
        <v>151</v>
      </c>
      <c r="B8" s="374">
        <f>PRRAS!C18</f>
        <v>7</v>
      </c>
      <c r="C8" s="374">
        <f>PRRAS!D18</f>
        <v>0</v>
      </c>
      <c r="D8" s="374">
        <f>PRRAS!E18</f>
        <v>0</v>
      </c>
      <c r="E8" s="374"/>
      <c r="F8" s="374"/>
      <c r="G8" s="375">
        <f t="shared" si="0"/>
        <v>0</v>
      </c>
      <c r="H8" s="375">
        <f t="shared" si="1"/>
        <v>0</v>
      </c>
      <c r="I8" s="376">
        <v>0</v>
      </c>
      <c r="J8" s="141" t="s">
        <v>3251</v>
      </c>
      <c r="K8" s="144" t="str">
        <f>IF(A1756=160,RefStr!B35,"NE")</f>
        <v>NE</v>
      </c>
      <c r="L8" s="141">
        <v>0</v>
      </c>
    </row>
    <row r="9" spans="1:12" x14ac:dyDescent="0.25">
      <c r="A9" s="373">
        <v>151</v>
      </c>
      <c r="B9" s="374">
        <f>PRRAS!C19</f>
        <v>8</v>
      </c>
      <c r="C9" s="374">
        <f>PRRAS!D19</f>
        <v>0</v>
      </c>
      <c r="D9" s="374">
        <f>PRRAS!E19</f>
        <v>0</v>
      </c>
      <c r="E9" s="374"/>
      <c r="F9" s="374"/>
      <c r="G9" s="375">
        <f t="shared" si="0"/>
        <v>0</v>
      </c>
      <c r="H9" s="375">
        <f t="shared" si="1"/>
        <v>0</v>
      </c>
      <c r="I9" s="376">
        <v>0</v>
      </c>
      <c r="J9" s="141" t="s">
        <v>3252</v>
      </c>
      <c r="K9" s="144" t="str">
        <f>RefStr!B37</f>
        <v>NE</v>
      </c>
      <c r="L9" s="141">
        <f>IF(RefStr!B37="DA",1,0)</f>
        <v>0</v>
      </c>
    </row>
    <row r="10" spans="1:12" x14ac:dyDescent="0.25">
      <c r="A10" s="373">
        <v>151</v>
      </c>
      <c r="B10" s="374">
        <f>PRRAS!C20</f>
        <v>9</v>
      </c>
      <c r="C10" s="374">
        <f>PRRAS!D20</f>
        <v>0</v>
      </c>
      <c r="D10" s="374">
        <f>PRRAS!E20</f>
        <v>0</v>
      </c>
      <c r="E10" s="374"/>
      <c r="F10" s="374"/>
      <c r="G10" s="375">
        <f t="shared" si="0"/>
        <v>0</v>
      </c>
      <c r="H10" s="375">
        <f t="shared" si="1"/>
        <v>0</v>
      </c>
      <c r="I10" s="376">
        <v>0</v>
      </c>
      <c r="J10" s="141" t="s">
        <v>1270</v>
      </c>
      <c r="K10" s="144" t="s">
        <v>3706</v>
      </c>
      <c r="L10" s="141">
        <f>IF(AND(RefStr!B35="DA",A1756=162),1,0)</f>
        <v>0</v>
      </c>
    </row>
    <row r="11" spans="1:12" x14ac:dyDescent="0.25">
      <c r="A11" s="373">
        <v>151</v>
      </c>
      <c r="B11" s="374">
        <f>PRRAS!C21</f>
        <v>10</v>
      </c>
      <c r="C11" s="374">
        <f>PRRAS!D21</f>
        <v>171266</v>
      </c>
      <c r="D11" s="374">
        <f>PRRAS!E21</f>
        <v>198779</v>
      </c>
      <c r="E11" s="374"/>
      <c r="F11" s="374"/>
      <c r="G11" s="375">
        <f t="shared" si="0"/>
        <v>5688.24</v>
      </c>
      <c r="H11" s="375">
        <f t="shared" si="1"/>
        <v>0</v>
      </c>
      <c r="I11" s="376">
        <v>0</v>
      </c>
      <c r="J11" s="141" t="s">
        <v>1269</v>
      </c>
      <c r="K11" s="144" t="s">
        <v>3706</v>
      </c>
      <c r="L11" s="141">
        <f>IF(AND(RefStr!B35="DA",A1756=163),1,0)</f>
        <v>0</v>
      </c>
    </row>
    <row r="12" spans="1:12" x14ac:dyDescent="0.25">
      <c r="A12" s="373">
        <v>151</v>
      </c>
      <c r="B12" s="374">
        <f>PRRAS!C22</f>
        <v>11</v>
      </c>
      <c r="C12" s="374">
        <f>PRRAS!D22</f>
        <v>0</v>
      </c>
      <c r="D12" s="374">
        <f>PRRAS!E22</f>
        <v>0</v>
      </c>
      <c r="E12" s="374"/>
      <c r="F12" s="374"/>
      <c r="G12" s="375">
        <f t="shared" si="0"/>
        <v>0</v>
      </c>
      <c r="H12" s="375">
        <f t="shared" si="1"/>
        <v>0</v>
      </c>
      <c r="I12" s="376">
        <v>0</v>
      </c>
      <c r="J12" s="141" t="s">
        <v>1779</v>
      </c>
      <c r="K12" s="144" t="str">
        <f>TRIM(RefStr!F6)</f>
        <v>2014-12</v>
      </c>
      <c r="L12" s="141">
        <f>IF(RefStr!F6&lt;&gt;0,100*INT(VALUE(MID(RefStr!F6,1,4)))+INT(VALUE(MID(RefStr!F6,6,2))), 0)</f>
        <v>201412</v>
      </c>
    </row>
    <row r="13" spans="1:12" x14ac:dyDescent="0.25">
      <c r="A13" s="373">
        <v>151</v>
      </c>
      <c r="B13" s="374">
        <f>PRRAS!C23</f>
        <v>12</v>
      </c>
      <c r="C13" s="374">
        <f>PRRAS!D23</f>
        <v>0</v>
      </c>
      <c r="D13" s="374">
        <f>PRRAS!E23</f>
        <v>0</v>
      </c>
      <c r="E13" s="374"/>
      <c r="F13" s="374"/>
      <c r="G13" s="375">
        <f t="shared" si="0"/>
        <v>0</v>
      </c>
      <c r="H13" s="375">
        <f t="shared" si="1"/>
        <v>0</v>
      </c>
      <c r="I13" s="376">
        <v>0</v>
      </c>
      <c r="J13" s="141" t="s">
        <v>1777</v>
      </c>
      <c r="K13" s="144" t="str">
        <f>TEXT(RefStr!K10,"YYYYMMDD")</f>
        <v>20140101</v>
      </c>
      <c r="L13" s="145">
        <f>YEAR(RefStr!K10)*10000+MONTH(RefStr!K10)*100+DAY(RefStr!K10)</f>
        <v>20140101</v>
      </c>
    </row>
    <row r="14" spans="1:12" x14ac:dyDescent="0.25">
      <c r="A14" s="373">
        <v>151</v>
      </c>
      <c r="B14" s="374">
        <f>PRRAS!C24</f>
        <v>13</v>
      </c>
      <c r="C14" s="374">
        <f>PRRAS!D24</f>
        <v>0</v>
      </c>
      <c r="D14" s="374">
        <f>PRRAS!E24</f>
        <v>0</v>
      </c>
      <c r="E14" s="374"/>
      <c r="F14" s="374"/>
      <c r="G14" s="375">
        <f t="shared" si="0"/>
        <v>0</v>
      </c>
      <c r="H14" s="375">
        <f t="shared" si="1"/>
        <v>0</v>
      </c>
      <c r="I14" s="376">
        <v>0</v>
      </c>
      <c r="J14" s="141" t="s">
        <v>1778</v>
      </c>
      <c r="K14" s="144" t="str">
        <f>TEXT(RefStr!K12,"YYYYMMDD")</f>
        <v>20141231</v>
      </c>
      <c r="L14" s="145">
        <f>YEAR(RefStr!K12)*10000+MONTH(RefStr!K12)*100+DAY(RefStr!K12)</f>
        <v>20141231</v>
      </c>
    </row>
    <row r="15" spans="1:12" x14ac:dyDescent="0.25">
      <c r="A15" s="373">
        <v>151</v>
      </c>
      <c r="B15" s="374">
        <f>PRRAS!C25</f>
        <v>14</v>
      </c>
      <c r="C15" s="374">
        <f>PRRAS!D25</f>
        <v>0</v>
      </c>
      <c r="D15" s="374">
        <f>PRRAS!E25</f>
        <v>0</v>
      </c>
      <c r="E15" s="374"/>
      <c r="F15" s="374"/>
      <c r="G15" s="375">
        <f t="shared" si="0"/>
        <v>0</v>
      </c>
      <c r="H15" s="375">
        <f t="shared" si="1"/>
        <v>0</v>
      </c>
      <c r="I15" s="376">
        <v>0</v>
      </c>
      <c r="J15" s="141" t="s">
        <v>1940</v>
      </c>
      <c r="K15" s="144" t="str">
        <f>TEXT(RefStr!B6,"00000")</f>
        <v>281186</v>
      </c>
      <c r="L15" s="141">
        <f>INT(VALUE(RefStr!B6))</f>
        <v>281186</v>
      </c>
    </row>
    <row r="16" spans="1:12" x14ac:dyDescent="0.25">
      <c r="A16" s="373">
        <v>151</v>
      </c>
      <c r="B16" s="374">
        <f>PRRAS!C26</f>
        <v>15</v>
      </c>
      <c r="C16" s="374">
        <f>PRRAS!D26</f>
        <v>0</v>
      </c>
      <c r="D16" s="374">
        <f>PRRAS!E26</f>
        <v>0</v>
      </c>
      <c r="E16" s="374"/>
      <c r="F16" s="374"/>
      <c r="G16" s="375">
        <f t="shared" si="0"/>
        <v>0</v>
      </c>
      <c r="H16" s="375">
        <f t="shared" si="1"/>
        <v>0</v>
      </c>
      <c r="I16" s="376">
        <v>0</v>
      </c>
      <c r="J16" s="141" t="s">
        <v>1268</v>
      </c>
      <c r="K16" s="144" t="str">
        <f>TEXT(RefStr!B8,"00000000")</f>
        <v>02745658</v>
      </c>
      <c r="L16" s="141">
        <f>INT(VALUE(RefStr!B8))</f>
        <v>2745658</v>
      </c>
    </row>
    <row r="17" spans="1:12" x14ac:dyDescent="0.25">
      <c r="A17" s="373">
        <v>151</v>
      </c>
      <c r="B17" s="374">
        <f>PRRAS!C27</f>
        <v>16</v>
      </c>
      <c r="C17" s="374">
        <f>PRRAS!D27</f>
        <v>0</v>
      </c>
      <c r="D17" s="374">
        <f>PRRAS!E27</f>
        <v>0</v>
      </c>
      <c r="E17" s="374"/>
      <c r="F17" s="374"/>
      <c r="G17" s="375">
        <f t="shared" si="0"/>
        <v>0</v>
      </c>
      <c r="H17" s="375">
        <f t="shared" si="1"/>
        <v>0</v>
      </c>
      <c r="I17" s="376">
        <v>0</v>
      </c>
      <c r="J17" s="141" t="s">
        <v>1770</v>
      </c>
      <c r="K17" s="144" t="str">
        <f>TRIM(RefStr!B10)</f>
        <v>OPĆINA SOKOLOVAC</v>
      </c>
      <c r="L17" s="141">
        <f>LEN(Skriveni!K17)</f>
        <v>16</v>
      </c>
    </row>
    <row r="18" spans="1:12" x14ac:dyDescent="0.25">
      <c r="A18" s="373">
        <v>151</v>
      </c>
      <c r="B18" s="374">
        <f>PRRAS!C28</f>
        <v>17</v>
      </c>
      <c r="C18" s="374">
        <f>PRRAS!D28</f>
        <v>0</v>
      </c>
      <c r="D18" s="374">
        <f>PRRAS!E28</f>
        <v>0</v>
      </c>
      <c r="E18" s="374"/>
      <c r="F18" s="374"/>
      <c r="G18" s="375">
        <f t="shared" si="0"/>
        <v>0</v>
      </c>
      <c r="H18" s="375">
        <f t="shared" si="1"/>
        <v>0</v>
      </c>
      <c r="I18" s="376">
        <v>0</v>
      </c>
      <c r="J18" s="141" t="s">
        <v>1771</v>
      </c>
      <c r="K18" s="144" t="str">
        <f>TEXT(RefStr!B12,"00000")</f>
        <v>48306</v>
      </c>
      <c r="L18" s="141">
        <f>INT(VALUE(RefStr!B12))</f>
        <v>48306</v>
      </c>
    </row>
    <row r="19" spans="1:12" x14ac:dyDescent="0.25">
      <c r="A19" s="373">
        <v>151</v>
      </c>
      <c r="B19" s="374">
        <f>PRRAS!C29</f>
        <v>18</v>
      </c>
      <c r="C19" s="374">
        <f>PRRAS!D29</f>
        <v>67703</v>
      </c>
      <c r="D19" s="374">
        <f>PRRAS!E29</f>
        <v>71268</v>
      </c>
      <c r="E19" s="374"/>
      <c r="F19" s="374"/>
      <c r="G19" s="375">
        <f t="shared" si="0"/>
        <v>3784.3019999999997</v>
      </c>
      <c r="H19" s="375">
        <f t="shared" si="1"/>
        <v>0</v>
      </c>
      <c r="I19" s="376">
        <v>0</v>
      </c>
      <c r="J19" s="141" t="s">
        <v>1772</v>
      </c>
      <c r="K19" s="144" t="str">
        <f>TRIM(RefStr!C12)</f>
        <v>Sokolovac</v>
      </c>
      <c r="L19" s="141">
        <f>LEN(Skriveni!K19)</f>
        <v>9</v>
      </c>
    </row>
    <row r="20" spans="1:12" x14ac:dyDescent="0.25">
      <c r="A20" s="373">
        <v>151</v>
      </c>
      <c r="B20" s="374">
        <f>PRRAS!C30</f>
        <v>19</v>
      </c>
      <c r="C20" s="374">
        <f>PRRAS!D30</f>
        <v>0</v>
      </c>
      <c r="D20" s="374">
        <f>PRRAS!E30</f>
        <v>0</v>
      </c>
      <c r="E20" s="374"/>
      <c r="F20" s="374"/>
      <c r="G20" s="375">
        <f t="shared" si="0"/>
        <v>0</v>
      </c>
      <c r="H20" s="375">
        <f t="shared" si="1"/>
        <v>0</v>
      </c>
      <c r="I20" s="376">
        <v>0</v>
      </c>
      <c r="J20" s="141" t="s">
        <v>1773</v>
      </c>
      <c r="K20" s="144" t="str">
        <f>TRIM(RefStr!B14)</f>
        <v>Trg dr. Bardeka 8</v>
      </c>
      <c r="L20" s="141">
        <f>LEN(Skriveni!K20)</f>
        <v>17</v>
      </c>
    </row>
    <row r="21" spans="1:12" x14ac:dyDescent="0.25">
      <c r="A21" s="373">
        <v>151</v>
      </c>
      <c r="B21" s="374">
        <f>PRRAS!C31</f>
        <v>20</v>
      </c>
      <c r="C21" s="374">
        <f>PRRAS!D31</f>
        <v>0</v>
      </c>
      <c r="D21" s="374">
        <f>PRRAS!E31</f>
        <v>0</v>
      </c>
      <c r="E21" s="374"/>
      <c r="F21" s="374"/>
      <c r="G21" s="375">
        <f t="shared" si="0"/>
        <v>0</v>
      </c>
      <c r="H21" s="375">
        <f t="shared" si="1"/>
        <v>0</v>
      </c>
      <c r="I21" s="376">
        <v>0</v>
      </c>
      <c r="J21" s="141" t="s">
        <v>316</v>
      </c>
      <c r="K21" s="144" t="str">
        <f>TEXT(RefStr!B16,"00")</f>
        <v>22</v>
      </c>
      <c r="L21" s="141">
        <f>INT(VALUE(RefStr!B16))</f>
        <v>22</v>
      </c>
    </row>
    <row r="22" spans="1:12" x14ac:dyDescent="0.25">
      <c r="A22" s="373">
        <v>151</v>
      </c>
      <c r="B22" s="374">
        <f>PRRAS!C32</f>
        <v>21</v>
      </c>
      <c r="C22" s="374">
        <f>PRRAS!D32</f>
        <v>0</v>
      </c>
      <c r="D22" s="374">
        <f>PRRAS!E32</f>
        <v>0</v>
      </c>
      <c r="E22" s="374"/>
      <c r="F22" s="374"/>
      <c r="G22" s="375">
        <f t="shared" si="0"/>
        <v>0</v>
      </c>
      <c r="H22" s="375">
        <f t="shared" si="1"/>
        <v>0</v>
      </c>
      <c r="I22" s="376">
        <v>0</v>
      </c>
      <c r="J22" s="141" t="s">
        <v>1774</v>
      </c>
      <c r="K22" s="144" t="str">
        <f>TEXT(RefStr!B18,"0000")</f>
        <v>8411</v>
      </c>
      <c r="L22" s="141">
        <f>INT(VALUE(RefStr!B18))</f>
        <v>8411</v>
      </c>
    </row>
    <row r="23" spans="1:12" x14ac:dyDescent="0.25">
      <c r="A23" s="373">
        <v>151</v>
      </c>
      <c r="B23" s="374">
        <f>PRRAS!C33</f>
        <v>22</v>
      </c>
      <c r="C23" s="374">
        <f>PRRAS!D33</f>
        <v>67703</v>
      </c>
      <c r="D23" s="374">
        <f>PRRAS!E33</f>
        <v>71268</v>
      </c>
      <c r="E23" s="374"/>
      <c r="F23" s="374"/>
      <c r="G23" s="375">
        <f t="shared" si="0"/>
        <v>4625.2579999999998</v>
      </c>
      <c r="H23" s="375">
        <f t="shared" si="1"/>
        <v>0</v>
      </c>
      <c r="I23" s="376">
        <v>0</v>
      </c>
      <c r="J23" s="141" t="s">
        <v>845</v>
      </c>
      <c r="K23" s="144" t="str">
        <f>TEXT(RefStr!B20,"000")</f>
        <v>000</v>
      </c>
      <c r="L23" s="141">
        <f>INT(VALUE(RefStr!B20))</f>
        <v>0</v>
      </c>
    </row>
    <row r="24" spans="1:12" x14ac:dyDescent="0.25">
      <c r="A24" s="373">
        <v>151</v>
      </c>
      <c r="B24" s="374">
        <f>PRRAS!C34</f>
        <v>23</v>
      </c>
      <c r="C24" s="374">
        <f>PRRAS!D34</f>
        <v>0</v>
      </c>
      <c r="D24" s="374">
        <f>PRRAS!E34</f>
        <v>0</v>
      </c>
      <c r="E24" s="374"/>
      <c r="F24" s="374"/>
      <c r="G24" s="375">
        <f t="shared" si="0"/>
        <v>0</v>
      </c>
      <c r="H24" s="375">
        <f t="shared" si="1"/>
        <v>0</v>
      </c>
      <c r="I24" s="376">
        <v>0</v>
      </c>
      <c r="J24" s="141" t="s">
        <v>1775</v>
      </c>
      <c r="K24" s="144" t="str">
        <f>TEXT(RefStr!B22,"000")</f>
        <v>405</v>
      </c>
      <c r="L24" s="141">
        <f>INT(VALUE(RefStr!B22))</f>
        <v>405</v>
      </c>
    </row>
    <row r="25" spans="1:12" x14ac:dyDescent="0.25">
      <c r="A25" s="373">
        <v>151</v>
      </c>
      <c r="B25" s="374">
        <f>PRRAS!C35</f>
        <v>24</v>
      </c>
      <c r="C25" s="374">
        <f>PRRAS!D35</f>
        <v>34782</v>
      </c>
      <c r="D25" s="374">
        <f>PRRAS!E35</f>
        <v>17704</v>
      </c>
      <c r="E25" s="374"/>
      <c r="F25" s="374"/>
      <c r="G25" s="375">
        <f t="shared" si="0"/>
        <v>1684.56</v>
      </c>
      <c r="H25" s="375">
        <f t="shared" si="1"/>
        <v>0</v>
      </c>
      <c r="I25" s="376">
        <v>0</v>
      </c>
      <c r="J25" s="141" t="s">
        <v>1776</v>
      </c>
      <c r="K25" s="144" t="str">
        <f>IF(ISNUMBER(RefStr!N22), TEXT(RefStr!N22, "00"),"00")</f>
        <v>06</v>
      </c>
      <c r="L25" s="141">
        <f>IF(ISERROR(RefStr!N22),0,INT(VALUE(RefStr!N22)))</f>
        <v>6</v>
      </c>
    </row>
    <row r="26" spans="1:12" x14ac:dyDescent="0.25">
      <c r="A26" s="373">
        <v>151</v>
      </c>
      <c r="B26" s="374">
        <f>PRRAS!C36</f>
        <v>25</v>
      </c>
      <c r="C26" s="374">
        <f>PRRAS!D36</f>
        <v>0</v>
      </c>
      <c r="D26" s="374">
        <f>PRRAS!E36</f>
        <v>0</v>
      </c>
      <c r="E26" s="374"/>
      <c r="F26" s="374"/>
      <c r="G26" s="375">
        <f t="shared" si="0"/>
        <v>0</v>
      </c>
      <c r="H26" s="375">
        <f t="shared" si="1"/>
        <v>0</v>
      </c>
      <c r="I26" s="376">
        <v>0</v>
      </c>
      <c r="J26" s="141" t="s">
        <v>1913</v>
      </c>
      <c r="K26" s="144" t="str">
        <f>TEXT(RefStr!K14, "00000000000")</f>
        <v>05607600712</v>
      </c>
      <c r="L26" s="141">
        <f>INT(VALUE(RefStr!K14))</f>
        <v>5607600712</v>
      </c>
    </row>
    <row r="27" spans="1:12" x14ac:dyDescent="0.25">
      <c r="A27" s="373">
        <v>151</v>
      </c>
      <c r="B27" s="374">
        <f>PRRAS!C37</f>
        <v>26</v>
      </c>
      <c r="C27" s="374">
        <f>PRRAS!D37</f>
        <v>21182</v>
      </c>
      <c r="D27" s="374">
        <f>PRRAS!E37</f>
        <v>6542</v>
      </c>
      <c r="E27" s="374"/>
      <c r="F27" s="374"/>
      <c r="G27" s="375">
        <f t="shared" si="0"/>
        <v>890.91599999999994</v>
      </c>
      <c r="H27" s="375">
        <f t="shared" si="1"/>
        <v>0</v>
      </c>
      <c r="I27" s="376">
        <v>0</v>
      </c>
      <c r="J27" s="141" t="s">
        <v>1914</v>
      </c>
      <c r="K27" s="144" t="str">
        <f>TRIM(RefStr!H25)</f>
        <v>ANKICA BABUREK</v>
      </c>
      <c r="L27" s="141">
        <f>LEN(RefStr!H25)</f>
        <v>14</v>
      </c>
    </row>
    <row r="28" spans="1:12" x14ac:dyDescent="0.25">
      <c r="A28" s="373">
        <v>151</v>
      </c>
      <c r="B28" s="374">
        <f>PRRAS!C38</f>
        <v>27</v>
      </c>
      <c r="C28" s="374">
        <f>PRRAS!D38</f>
        <v>0</v>
      </c>
      <c r="D28" s="374">
        <f>PRRAS!E38</f>
        <v>0</v>
      </c>
      <c r="E28" s="374"/>
      <c r="F28" s="374"/>
      <c r="G28" s="375">
        <f t="shared" si="0"/>
        <v>0</v>
      </c>
      <c r="H28" s="375">
        <f t="shared" si="1"/>
        <v>0</v>
      </c>
      <c r="I28" s="376">
        <v>0</v>
      </c>
      <c r="J28" s="141" t="s">
        <v>1915</v>
      </c>
      <c r="K28" s="144" t="str">
        <f>TRIM(RefStr!H27)</f>
        <v>048838315</v>
      </c>
      <c r="L28" s="141">
        <f>LEN(RefStr!H27)</f>
        <v>9</v>
      </c>
    </row>
    <row r="29" spans="1:12" x14ac:dyDescent="0.25">
      <c r="A29" s="373">
        <v>151</v>
      </c>
      <c r="B29" s="374">
        <f>PRRAS!C39</f>
        <v>28</v>
      </c>
      <c r="C29" s="374">
        <f>PRRAS!D39</f>
        <v>13600</v>
      </c>
      <c r="D29" s="374">
        <f>PRRAS!E39</f>
        <v>11162</v>
      </c>
      <c r="E29" s="374"/>
      <c r="F29" s="374"/>
      <c r="G29" s="375">
        <f t="shared" si="0"/>
        <v>1005.8720000000001</v>
      </c>
      <c r="H29" s="375">
        <f t="shared" si="1"/>
        <v>0</v>
      </c>
      <c r="I29" s="376">
        <v>0</v>
      </c>
      <c r="J29" s="141" t="s">
        <v>1916</v>
      </c>
      <c r="K29" s="144" t="str">
        <f>TRIM(RefStr!K27)</f>
        <v>048838315</v>
      </c>
      <c r="L29" s="141">
        <f>LEN(RefStr!K27)</f>
        <v>9</v>
      </c>
    </row>
    <row r="30" spans="1:12" x14ac:dyDescent="0.25">
      <c r="A30" s="373">
        <v>151</v>
      </c>
      <c r="B30" s="374">
        <f>PRRAS!C40</f>
        <v>29</v>
      </c>
      <c r="C30" s="374">
        <f>PRRAS!D40</f>
        <v>0</v>
      </c>
      <c r="D30" s="374">
        <f>PRRAS!E40</f>
        <v>0</v>
      </c>
      <c r="E30" s="374"/>
      <c r="F30" s="374"/>
      <c r="G30" s="375">
        <f t="shared" si="0"/>
        <v>0</v>
      </c>
      <c r="H30" s="375">
        <f t="shared" si="1"/>
        <v>0</v>
      </c>
      <c r="I30" s="376">
        <v>0</v>
      </c>
      <c r="J30" s="141" t="s">
        <v>1917</v>
      </c>
      <c r="K30" s="144" t="str">
        <f>TRIM(RefStr!H29)</f>
        <v>opcina-sokolovac@kc.t-com.hr</v>
      </c>
      <c r="L30" s="141">
        <f>LEN(RefStr!H29)</f>
        <v>28</v>
      </c>
    </row>
    <row r="31" spans="1:12" x14ac:dyDescent="0.25">
      <c r="A31" s="373">
        <v>151</v>
      </c>
      <c r="B31" s="374">
        <f>PRRAS!C41</f>
        <v>30</v>
      </c>
      <c r="C31" s="374">
        <f>PRRAS!D41</f>
        <v>0</v>
      </c>
      <c r="D31" s="374">
        <f>PRRAS!E41</f>
        <v>0</v>
      </c>
      <c r="E31" s="374"/>
      <c r="F31" s="374"/>
      <c r="G31" s="375">
        <f t="shared" si="0"/>
        <v>0</v>
      </c>
      <c r="H31" s="375">
        <f t="shared" si="1"/>
        <v>0</v>
      </c>
      <c r="I31" s="376">
        <v>0</v>
      </c>
      <c r="J31" s="141" t="s">
        <v>1918</v>
      </c>
      <c r="K31" s="144" t="str">
        <f>TRIM(RefStr!H31)</f>
        <v>opcina-sokolovac@kc.t-com.hr</v>
      </c>
      <c r="L31" s="141">
        <f>LEN(RefStr!H31)</f>
        <v>28</v>
      </c>
    </row>
    <row r="32" spans="1:12" x14ac:dyDescent="0.25">
      <c r="A32" s="373">
        <v>151</v>
      </c>
      <c r="B32" s="374">
        <f>PRRAS!C42</f>
        <v>31</v>
      </c>
      <c r="C32" s="374">
        <f>PRRAS!D42</f>
        <v>0</v>
      </c>
      <c r="D32" s="374">
        <f>PRRAS!E42</f>
        <v>0</v>
      </c>
      <c r="E32" s="374"/>
      <c r="F32" s="374"/>
      <c r="G32" s="375">
        <f t="shared" si="0"/>
        <v>0</v>
      </c>
      <c r="H32" s="375">
        <f t="shared" si="1"/>
        <v>0</v>
      </c>
      <c r="I32" s="376">
        <v>0</v>
      </c>
      <c r="J32" s="141" t="s">
        <v>1919</v>
      </c>
      <c r="K32" s="144" t="str">
        <f>TRIM(RefStr!H33)</f>
        <v>Vlado Bakšaj</v>
      </c>
      <c r="L32" s="141">
        <f>LEN(RefStr!H33)</f>
        <v>12</v>
      </c>
    </row>
    <row r="33" spans="1:12" x14ac:dyDescent="0.25">
      <c r="A33" s="373">
        <v>151</v>
      </c>
      <c r="B33" s="374">
        <f>PRRAS!C43</f>
        <v>32</v>
      </c>
      <c r="C33" s="374">
        <f>PRRAS!D43</f>
        <v>0</v>
      </c>
      <c r="D33" s="374">
        <f>PRRAS!E43</f>
        <v>0</v>
      </c>
      <c r="E33" s="374"/>
      <c r="F33" s="374"/>
      <c r="G33" s="375">
        <f t="shared" si="0"/>
        <v>0</v>
      </c>
      <c r="H33" s="375">
        <f t="shared" si="1"/>
        <v>0</v>
      </c>
      <c r="I33" s="376">
        <v>0</v>
      </c>
      <c r="J33" s="141" t="s">
        <v>1920</v>
      </c>
      <c r="K33" s="143">
        <f>SUM(G2:G1975)</f>
        <v>96684477.755999982</v>
      </c>
      <c r="L33" s="143">
        <f>SUM(G2:G1975)</f>
        <v>96684477.755999982</v>
      </c>
    </row>
    <row r="34" spans="1:12" x14ac:dyDescent="0.25">
      <c r="A34" s="373">
        <v>151</v>
      </c>
      <c r="B34" s="374">
        <f>PRRAS!C44</f>
        <v>33</v>
      </c>
      <c r="C34" s="374">
        <f>PRRAS!D44</f>
        <v>0</v>
      </c>
      <c r="D34" s="374">
        <f>PRRAS!E44</f>
        <v>0</v>
      </c>
      <c r="E34" s="374"/>
      <c r="F34" s="374"/>
      <c r="G34" s="375">
        <f t="shared" si="0"/>
        <v>0</v>
      </c>
      <c r="H34" s="375">
        <f t="shared" si="1"/>
        <v>0</v>
      </c>
      <c r="I34" s="376">
        <v>0</v>
      </c>
      <c r="J34" s="141" t="s">
        <v>18</v>
      </c>
      <c r="K34" s="144" t="str">
        <f>IF(SUM(H2:H1922)&lt;&gt;0,"LIPE","NULA")</f>
        <v>NULA</v>
      </c>
      <c r="L34" s="143">
        <f>SUM(H2:H1922)</f>
        <v>0</v>
      </c>
    </row>
    <row r="35" spans="1:12" x14ac:dyDescent="0.25">
      <c r="A35" s="373">
        <v>151</v>
      </c>
      <c r="B35" s="374">
        <f>PRRAS!C45</f>
        <v>34</v>
      </c>
      <c r="C35" s="374">
        <f>PRRAS!D45</f>
        <v>0</v>
      </c>
      <c r="D35" s="374">
        <f>PRRAS!E45</f>
        <v>0</v>
      </c>
      <c r="E35" s="374"/>
      <c r="F35" s="374"/>
      <c r="G35" s="375">
        <f t="shared" si="0"/>
        <v>0</v>
      </c>
      <c r="H35" s="375">
        <f t="shared" si="1"/>
        <v>0</v>
      </c>
      <c r="I35" s="376">
        <v>0</v>
      </c>
      <c r="J35" s="141" t="s">
        <v>1336</v>
      </c>
      <c r="K35" s="144" t="str">
        <f>TEXT(Kont!E2, "000")</f>
        <v>000</v>
      </c>
      <c r="L35" s="141">
        <f>IF(ISERROR(Kont!E2),1,Kont!E2)</f>
        <v>0</v>
      </c>
    </row>
    <row r="36" spans="1:12" x14ac:dyDescent="0.25">
      <c r="A36" s="373">
        <v>151</v>
      </c>
      <c r="B36" s="374">
        <f>PRRAS!C46</f>
        <v>35</v>
      </c>
      <c r="C36" s="374">
        <f>PRRAS!D46</f>
        <v>0</v>
      </c>
      <c r="D36" s="374">
        <f>PRRAS!E46</f>
        <v>0</v>
      </c>
      <c r="E36" s="374"/>
      <c r="F36" s="374"/>
      <c r="G36" s="375">
        <f t="shared" si="0"/>
        <v>0</v>
      </c>
      <c r="H36" s="375">
        <f t="shared" si="1"/>
        <v>0</v>
      </c>
      <c r="I36" s="376">
        <v>0</v>
      </c>
      <c r="J36" s="141" t="s">
        <v>3253</v>
      </c>
      <c r="K36" s="435" t="s">
        <v>487</v>
      </c>
      <c r="L36" s="141">
        <v>306</v>
      </c>
    </row>
    <row r="37" spans="1:12" x14ac:dyDescent="0.25">
      <c r="A37" s="373">
        <v>151</v>
      </c>
      <c r="B37" s="374">
        <f>PRRAS!C47</f>
        <v>36</v>
      </c>
      <c r="C37" s="374">
        <f>PRRAS!D47</f>
        <v>0</v>
      </c>
      <c r="D37" s="374">
        <f>PRRAS!E47</f>
        <v>0</v>
      </c>
      <c r="E37" s="374"/>
      <c r="F37" s="374"/>
      <c r="G37" s="375">
        <f t="shared" si="0"/>
        <v>0</v>
      </c>
      <c r="H37" s="375">
        <f t="shared" si="1"/>
        <v>0</v>
      </c>
      <c r="I37" s="376">
        <v>0</v>
      </c>
    </row>
    <row r="38" spans="1:12" x14ac:dyDescent="0.25">
      <c r="A38" s="373">
        <v>151</v>
      </c>
      <c r="B38" s="374">
        <f>PRRAS!C48</f>
        <v>37</v>
      </c>
      <c r="C38" s="374">
        <f>PRRAS!D48</f>
        <v>0</v>
      </c>
      <c r="D38" s="374">
        <f>PRRAS!E48</f>
        <v>0</v>
      </c>
      <c r="E38" s="374"/>
      <c r="F38" s="374"/>
      <c r="G38" s="375">
        <f t="shared" si="0"/>
        <v>0</v>
      </c>
      <c r="H38" s="375">
        <f t="shared" si="1"/>
        <v>0</v>
      </c>
      <c r="I38" s="376">
        <v>0</v>
      </c>
    </row>
    <row r="39" spans="1:12" x14ac:dyDescent="0.25">
      <c r="A39" s="373">
        <v>151</v>
      </c>
      <c r="B39" s="374">
        <f>PRRAS!C49</f>
        <v>38</v>
      </c>
      <c r="C39" s="374">
        <f>PRRAS!D49</f>
        <v>0</v>
      </c>
      <c r="D39" s="374">
        <f>PRRAS!E49</f>
        <v>0</v>
      </c>
      <c r="E39" s="374"/>
      <c r="F39" s="374"/>
      <c r="G39" s="375">
        <f t="shared" si="0"/>
        <v>0</v>
      </c>
      <c r="H39" s="375">
        <f t="shared" si="1"/>
        <v>0</v>
      </c>
      <c r="I39" s="376">
        <v>0</v>
      </c>
    </row>
    <row r="40" spans="1:12" x14ac:dyDescent="0.25">
      <c r="A40" s="373">
        <v>151</v>
      </c>
      <c r="B40" s="374">
        <f>PRRAS!C50</f>
        <v>39</v>
      </c>
      <c r="C40" s="374">
        <f>PRRAS!D50</f>
        <v>0</v>
      </c>
      <c r="D40" s="374">
        <f>PRRAS!E50</f>
        <v>0</v>
      </c>
      <c r="E40" s="374"/>
      <c r="F40" s="374"/>
      <c r="G40" s="375">
        <f t="shared" si="0"/>
        <v>0</v>
      </c>
      <c r="H40" s="375">
        <f t="shared" si="1"/>
        <v>0</v>
      </c>
      <c r="I40" s="376">
        <v>0</v>
      </c>
    </row>
    <row r="41" spans="1:12" x14ac:dyDescent="0.25">
      <c r="A41" s="373">
        <v>151</v>
      </c>
      <c r="B41" s="374">
        <f>PRRAS!C51</f>
        <v>40</v>
      </c>
      <c r="C41" s="374">
        <f>PRRAS!D51</f>
        <v>0</v>
      </c>
      <c r="D41" s="374">
        <f>PRRAS!E51</f>
        <v>0</v>
      </c>
      <c r="E41" s="374"/>
      <c r="F41" s="374"/>
      <c r="G41" s="375">
        <f t="shared" si="0"/>
        <v>0</v>
      </c>
      <c r="H41" s="375">
        <f t="shared" si="1"/>
        <v>0</v>
      </c>
      <c r="I41" s="376">
        <v>0</v>
      </c>
    </row>
    <row r="42" spans="1:12" x14ac:dyDescent="0.25">
      <c r="A42" s="373">
        <v>151</v>
      </c>
      <c r="B42" s="374">
        <f>PRRAS!C52</f>
        <v>41</v>
      </c>
      <c r="C42" s="374">
        <f>PRRAS!D52</f>
        <v>0</v>
      </c>
      <c r="D42" s="374">
        <f>PRRAS!E52</f>
        <v>0</v>
      </c>
      <c r="E42" s="374"/>
      <c r="F42" s="374"/>
      <c r="G42" s="375">
        <f t="shared" si="0"/>
        <v>0</v>
      </c>
      <c r="H42" s="375">
        <f t="shared" si="1"/>
        <v>0</v>
      </c>
      <c r="I42" s="376">
        <v>0</v>
      </c>
    </row>
    <row r="43" spans="1:12" x14ac:dyDescent="0.25">
      <c r="A43" s="373">
        <v>151</v>
      </c>
      <c r="B43" s="374">
        <f>PRRAS!C53</f>
        <v>42</v>
      </c>
      <c r="C43" s="374">
        <f>PRRAS!D53</f>
        <v>0</v>
      </c>
      <c r="D43" s="374">
        <f>PRRAS!E53</f>
        <v>0</v>
      </c>
      <c r="E43" s="374"/>
      <c r="F43" s="374"/>
      <c r="G43" s="375">
        <f t="shared" si="0"/>
        <v>0</v>
      </c>
      <c r="H43" s="375">
        <f t="shared" si="1"/>
        <v>0</v>
      </c>
      <c r="I43" s="376">
        <v>0</v>
      </c>
    </row>
    <row r="44" spans="1:12" x14ac:dyDescent="0.25">
      <c r="A44" s="373">
        <v>151</v>
      </c>
      <c r="B44" s="374">
        <f>PRRAS!C54</f>
        <v>43</v>
      </c>
      <c r="C44" s="374">
        <f>PRRAS!D54</f>
        <v>0</v>
      </c>
      <c r="D44" s="374">
        <f>PRRAS!E54</f>
        <v>0</v>
      </c>
      <c r="E44" s="374"/>
      <c r="F44" s="374"/>
      <c r="G44" s="375">
        <f t="shared" si="0"/>
        <v>0</v>
      </c>
      <c r="H44" s="375">
        <f t="shared" si="1"/>
        <v>0</v>
      </c>
      <c r="I44" s="376">
        <v>0</v>
      </c>
    </row>
    <row r="45" spans="1:12" x14ac:dyDescent="0.25">
      <c r="A45" s="373">
        <v>151</v>
      </c>
      <c r="B45" s="374">
        <f>PRRAS!C55</f>
        <v>44</v>
      </c>
      <c r="C45" s="374">
        <f>PRRAS!D55</f>
        <v>0</v>
      </c>
      <c r="D45" s="374">
        <f>PRRAS!E55</f>
        <v>0</v>
      </c>
      <c r="E45" s="374"/>
      <c r="F45" s="374"/>
      <c r="G45" s="375">
        <f t="shared" si="0"/>
        <v>0</v>
      </c>
      <c r="H45" s="375">
        <f t="shared" si="1"/>
        <v>0</v>
      </c>
      <c r="I45" s="376">
        <v>0</v>
      </c>
    </row>
    <row r="46" spans="1:12" x14ac:dyDescent="0.25">
      <c r="A46" s="373">
        <v>151</v>
      </c>
      <c r="B46" s="374">
        <f>PRRAS!C56</f>
        <v>45</v>
      </c>
      <c r="C46" s="374">
        <f>PRRAS!D56</f>
        <v>0</v>
      </c>
      <c r="D46" s="374">
        <f>PRRAS!E56</f>
        <v>0</v>
      </c>
      <c r="E46" s="374"/>
      <c r="F46" s="374"/>
      <c r="G46" s="375">
        <f t="shared" si="0"/>
        <v>0</v>
      </c>
      <c r="H46" s="375">
        <f t="shared" si="1"/>
        <v>0</v>
      </c>
      <c r="I46" s="376">
        <v>0</v>
      </c>
    </row>
    <row r="47" spans="1:12" x14ac:dyDescent="0.25">
      <c r="A47" s="373">
        <v>151</v>
      </c>
      <c r="B47" s="374">
        <f>PRRAS!C57</f>
        <v>46</v>
      </c>
      <c r="C47" s="374">
        <f>PRRAS!D57</f>
        <v>0</v>
      </c>
      <c r="D47" s="374">
        <f>PRRAS!E57</f>
        <v>0</v>
      </c>
      <c r="E47" s="374"/>
      <c r="F47" s="374"/>
      <c r="G47" s="375">
        <f t="shared" si="0"/>
        <v>0</v>
      </c>
      <c r="H47" s="375">
        <f t="shared" si="1"/>
        <v>0</v>
      </c>
      <c r="I47" s="376">
        <v>0</v>
      </c>
    </row>
    <row r="48" spans="1:12" x14ac:dyDescent="0.25">
      <c r="A48" s="373">
        <v>151</v>
      </c>
      <c r="B48" s="374">
        <f>PRRAS!C58</f>
        <v>47</v>
      </c>
      <c r="C48" s="374">
        <f>PRRAS!D58</f>
        <v>584402</v>
      </c>
      <c r="D48" s="374">
        <f>PRRAS!E58</f>
        <v>620733</v>
      </c>
      <c r="E48" s="374"/>
      <c r="F48" s="374"/>
      <c r="G48" s="375">
        <f t="shared" si="0"/>
        <v>85815.796000000002</v>
      </c>
      <c r="H48" s="375">
        <f t="shared" si="1"/>
        <v>0</v>
      </c>
      <c r="I48" s="376">
        <v>0</v>
      </c>
    </row>
    <row r="49" spans="1:9" x14ac:dyDescent="0.25">
      <c r="A49" s="373">
        <v>151</v>
      </c>
      <c r="B49" s="374">
        <f>PRRAS!C59</f>
        <v>48</v>
      </c>
      <c r="C49" s="374">
        <f>PRRAS!D59</f>
        <v>0</v>
      </c>
      <c r="D49" s="374">
        <f>PRRAS!E59</f>
        <v>0</v>
      </c>
      <c r="E49" s="374"/>
      <c r="F49" s="374"/>
      <c r="G49" s="375">
        <f t="shared" si="0"/>
        <v>0</v>
      </c>
      <c r="H49" s="375">
        <f t="shared" si="1"/>
        <v>0</v>
      </c>
      <c r="I49" s="376">
        <v>0</v>
      </c>
    </row>
    <row r="50" spans="1:9" x14ac:dyDescent="0.25">
      <c r="A50" s="373">
        <v>151</v>
      </c>
      <c r="B50" s="374">
        <f>PRRAS!C60</f>
        <v>49</v>
      </c>
      <c r="C50" s="374">
        <f>PRRAS!D60</f>
        <v>0</v>
      </c>
      <c r="D50" s="374">
        <f>PRRAS!E60</f>
        <v>0</v>
      </c>
      <c r="E50" s="374"/>
      <c r="F50" s="374"/>
      <c r="G50" s="375">
        <f t="shared" si="0"/>
        <v>0</v>
      </c>
      <c r="H50" s="375">
        <f t="shared" si="1"/>
        <v>0</v>
      </c>
      <c r="I50" s="376">
        <v>0</v>
      </c>
    </row>
    <row r="51" spans="1:9" x14ac:dyDescent="0.25">
      <c r="A51" s="373">
        <v>151</v>
      </c>
      <c r="B51" s="374">
        <f>PRRAS!C61</f>
        <v>50</v>
      </c>
      <c r="C51" s="374">
        <f>PRRAS!D61</f>
        <v>0</v>
      </c>
      <c r="D51" s="374">
        <f>PRRAS!E61</f>
        <v>0</v>
      </c>
      <c r="E51" s="374"/>
      <c r="F51" s="374"/>
      <c r="G51" s="375">
        <f t="shared" si="0"/>
        <v>0</v>
      </c>
      <c r="H51" s="375">
        <f t="shared" si="1"/>
        <v>0</v>
      </c>
      <c r="I51" s="376">
        <v>0</v>
      </c>
    </row>
    <row r="52" spans="1:9" x14ac:dyDescent="0.25">
      <c r="A52" s="373">
        <v>151</v>
      </c>
      <c r="B52" s="374">
        <f>PRRAS!C62</f>
        <v>51</v>
      </c>
      <c r="C52" s="374">
        <f>PRRAS!D62</f>
        <v>0</v>
      </c>
      <c r="D52" s="374">
        <f>PRRAS!E62</f>
        <v>0</v>
      </c>
      <c r="E52" s="374"/>
      <c r="F52" s="374"/>
      <c r="G52" s="375">
        <f t="shared" si="0"/>
        <v>0</v>
      </c>
      <c r="H52" s="375">
        <f t="shared" si="1"/>
        <v>0</v>
      </c>
      <c r="I52" s="376">
        <v>0</v>
      </c>
    </row>
    <row r="53" spans="1:9" x14ac:dyDescent="0.25">
      <c r="A53" s="373">
        <v>151</v>
      </c>
      <c r="B53" s="374">
        <f>PRRAS!C63</f>
        <v>52</v>
      </c>
      <c r="C53" s="374">
        <f>PRRAS!D63</f>
        <v>0</v>
      </c>
      <c r="D53" s="374">
        <f>PRRAS!E63</f>
        <v>0</v>
      </c>
      <c r="E53" s="374"/>
      <c r="F53" s="374"/>
      <c r="G53" s="375">
        <f t="shared" si="0"/>
        <v>0</v>
      </c>
      <c r="H53" s="375">
        <f t="shared" si="1"/>
        <v>0</v>
      </c>
      <c r="I53" s="376">
        <v>0</v>
      </c>
    </row>
    <row r="54" spans="1:9" x14ac:dyDescent="0.25">
      <c r="A54" s="373">
        <v>151</v>
      </c>
      <c r="B54" s="374">
        <f>PRRAS!C64</f>
        <v>53</v>
      </c>
      <c r="C54" s="374">
        <f>PRRAS!D64</f>
        <v>0</v>
      </c>
      <c r="D54" s="374">
        <f>PRRAS!E64</f>
        <v>0</v>
      </c>
      <c r="E54" s="374"/>
      <c r="F54" s="374"/>
      <c r="G54" s="375">
        <f t="shared" si="0"/>
        <v>0</v>
      </c>
      <c r="H54" s="375">
        <f t="shared" si="1"/>
        <v>0</v>
      </c>
      <c r="I54" s="376">
        <v>0</v>
      </c>
    </row>
    <row r="55" spans="1:9" x14ac:dyDescent="0.25">
      <c r="A55" s="373">
        <v>151</v>
      </c>
      <c r="B55" s="374">
        <f>PRRAS!C65</f>
        <v>54</v>
      </c>
      <c r="C55" s="374">
        <f>PRRAS!D65</f>
        <v>0</v>
      </c>
      <c r="D55" s="374">
        <f>PRRAS!E65</f>
        <v>0</v>
      </c>
      <c r="E55" s="374"/>
      <c r="F55" s="374"/>
      <c r="G55" s="375">
        <f t="shared" si="0"/>
        <v>0</v>
      </c>
      <c r="H55" s="375">
        <f t="shared" si="1"/>
        <v>0</v>
      </c>
      <c r="I55" s="376">
        <v>0</v>
      </c>
    </row>
    <row r="56" spans="1:9" x14ac:dyDescent="0.25">
      <c r="A56" s="373">
        <v>151</v>
      </c>
      <c r="B56" s="374">
        <f>PRRAS!C66</f>
        <v>55</v>
      </c>
      <c r="C56" s="374">
        <f>PRRAS!D66</f>
        <v>0</v>
      </c>
      <c r="D56" s="374">
        <f>PRRAS!E66</f>
        <v>0</v>
      </c>
      <c r="E56" s="374"/>
      <c r="F56" s="374"/>
      <c r="G56" s="375">
        <f t="shared" si="0"/>
        <v>0</v>
      </c>
      <c r="H56" s="375">
        <f t="shared" si="1"/>
        <v>0</v>
      </c>
      <c r="I56" s="376">
        <v>0</v>
      </c>
    </row>
    <row r="57" spans="1:9" x14ac:dyDescent="0.25">
      <c r="A57" s="373">
        <v>151</v>
      </c>
      <c r="B57" s="374">
        <f>PRRAS!C67</f>
        <v>56</v>
      </c>
      <c r="C57" s="374">
        <f>PRRAS!D67</f>
        <v>584402</v>
      </c>
      <c r="D57" s="374">
        <f>PRRAS!E67</f>
        <v>620733</v>
      </c>
      <c r="E57" s="374"/>
      <c r="F57" s="374"/>
      <c r="G57" s="375">
        <f t="shared" si="0"/>
        <v>102248.60800000001</v>
      </c>
      <c r="H57" s="375">
        <f t="shared" si="1"/>
        <v>0</v>
      </c>
      <c r="I57" s="376">
        <v>0</v>
      </c>
    </row>
    <row r="58" spans="1:9" x14ac:dyDescent="0.25">
      <c r="A58" s="373">
        <v>151</v>
      </c>
      <c r="B58" s="374">
        <f>PRRAS!C68</f>
        <v>57</v>
      </c>
      <c r="C58" s="374">
        <f>PRRAS!D68</f>
        <v>286907</v>
      </c>
      <c r="D58" s="374">
        <f>PRRAS!E68</f>
        <v>116274</v>
      </c>
      <c r="E58" s="374"/>
      <c r="F58" s="374"/>
      <c r="G58" s="375">
        <f t="shared" si="0"/>
        <v>29608.935000000001</v>
      </c>
      <c r="H58" s="375">
        <f t="shared" si="1"/>
        <v>0</v>
      </c>
      <c r="I58" s="376">
        <v>0</v>
      </c>
    </row>
    <row r="59" spans="1:9" x14ac:dyDescent="0.25">
      <c r="A59" s="373">
        <v>151</v>
      </c>
      <c r="B59" s="374">
        <f>PRRAS!C69</f>
        <v>58</v>
      </c>
      <c r="C59" s="374">
        <f>PRRAS!D69</f>
        <v>297495</v>
      </c>
      <c r="D59" s="374">
        <f>PRRAS!E69</f>
        <v>504459</v>
      </c>
      <c r="E59" s="374"/>
      <c r="F59" s="374"/>
      <c r="G59" s="375">
        <f t="shared" si="0"/>
        <v>75771.953999999998</v>
      </c>
      <c r="H59" s="375">
        <f t="shared" si="1"/>
        <v>0</v>
      </c>
      <c r="I59" s="376">
        <v>0</v>
      </c>
    </row>
    <row r="60" spans="1:9" x14ac:dyDescent="0.25">
      <c r="A60" s="373">
        <v>151</v>
      </c>
      <c r="B60" s="374">
        <f>PRRAS!C70</f>
        <v>59</v>
      </c>
      <c r="C60" s="374">
        <f>PRRAS!D70</f>
        <v>0</v>
      </c>
      <c r="D60" s="374">
        <f>PRRAS!E70</f>
        <v>0</v>
      </c>
      <c r="E60" s="374"/>
      <c r="F60" s="374"/>
      <c r="G60" s="375">
        <f t="shared" si="0"/>
        <v>0</v>
      </c>
      <c r="H60" s="375">
        <f t="shared" si="1"/>
        <v>0</v>
      </c>
      <c r="I60" s="376">
        <v>0</v>
      </c>
    </row>
    <row r="61" spans="1:9" x14ac:dyDescent="0.25">
      <c r="A61" s="373">
        <v>151</v>
      </c>
      <c r="B61" s="374">
        <f>PRRAS!C71</f>
        <v>60</v>
      </c>
      <c r="C61" s="374">
        <f>PRRAS!D71</f>
        <v>0</v>
      </c>
      <c r="D61" s="374">
        <f>PRRAS!E71</f>
        <v>0</v>
      </c>
      <c r="E61" s="374"/>
      <c r="F61" s="374"/>
      <c r="G61" s="375">
        <f t="shared" si="0"/>
        <v>0</v>
      </c>
      <c r="H61" s="375">
        <f t="shared" si="1"/>
        <v>0</v>
      </c>
      <c r="I61" s="376">
        <v>0</v>
      </c>
    </row>
    <row r="62" spans="1:9" x14ac:dyDescent="0.25">
      <c r="A62" s="373">
        <v>151</v>
      </c>
      <c r="B62" s="374">
        <f>PRRAS!C72</f>
        <v>61</v>
      </c>
      <c r="C62" s="374">
        <f>PRRAS!D72</f>
        <v>0</v>
      </c>
      <c r="D62" s="374">
        <f>PRRAS!E72</f>
        <v>0</v>
      </c>
      <c r="E62" s="374"/>
      <c r="F62" s="374"/>
      <c r="G62" s="375">
        <f t="shared" si="0"/>
        <v>0</v>
      </c>
      <c r="H62" s="375">
        <f t="shared" si="1"/>
        <v>0</v>
      </c>
      <c r="I62" s="376">
        <v>0</v>
      </c>
    </row>
    <row r="63" spans="1:9" x14ac:dyDescent="0.25">
      <c r="A63" s="373">
        <v>151</v>
      </c>
      <c r="B63" s="374">
        <f>PRRAS!C73</f>
        <v>62</v>
      </c>
      <c r="C63" s="374">
        <f>PRRAS!D73</f>
        <v>0</v>
      </c>
      <c r="D63" s="374">
        <f>PRRAS!E73</f>
        <v>0</v>
      </c>
      <c r="E63" s="374"/>
      <c r="F63" s="374"/>
      <c r="G63" s="375">
        <f t="shared" si="0"/>
        <v>0</v>
      </c>
      <c r="H63" s="375">
        <f t="shared" si="1"/>
        <v>0</v>
      </c>
      <c r="I63" s="376">
        <v>0</v>
      </c>
    </row>
    <row r="64" spans="1:9" x14ac:dyDescent="0.25">
      <c r="A64" s="373">
        <v>151</v>
      </c>
      <c r="B64" s="374">
        <f>PRRAS!C74</f>
        <v>63</v>
      </c>
      <c r="C64" s="374">
        <f>PRRAS!D74</f>
        <v>0</v>
      </c>
      <c r="D64" s="374">
        <f>PRRAS!E74</f>
        <v>0</v>
      </c>
      <c r="E64" s="374"/>
      <c r="F64" s="374"/>
      <c r="G64" s="375">
        <f t="shared" si="0"/>
        <v>0</v>
      </c>
      <c r="H64" s="375">
        <f t="shared" si="1"/>
        <v>0</v>
      </c>
      <c r="I64" s="376">
        <v>0</v>
      </c>
    </row>
    <row r="65" spans="1:9" x14ac:dyDescent="0.25">
      <c r="A65" s="373">
        <v>151</v>
      </c>
      <c r="B65" s="374">
        <f>PRRAS!C75</f>
        <v>64</v>
      </c>
      <c r="C65" s="374">
        <f>PRRAS!D75</f>
        <v>0</v>
      </c>
      <c r="D65" s="374">
        <f>PRRAS!E75</f>
        <v>0</v>
      </c>
      <c r="E65" s="374"/>
      <c r="F65" s="374"/>
      <c r="G65" s="375">
        <f t="shared" si="0"/>
        <v>0</v>
      </c>
      <c r="H65" s="375">
        <f t="shared" si="1"/>
        <v>0</v>
      </c>
      <c r="I65" s="376">
        <v>0</v>
      </c>
    </row>
    <row r="66" spans="1:9" x14ac:dyDescent="0.25">
      <c r="A66" s="373">
        <v>151</v>
      </c>
      <c r="B66" s="374">
        <f>PRRAS!C76</f>
        <v>65</v>
      </c>
      <c r="C66" s="374">
        <f>PRRAS!D76</f>
        <v>0</v>
      </c>
      <c r="D66" s="374">
        <f>PRRAS!E76</f>
        <v>0</v>
      </c>
      <c r="E66" s="374"/>
      <c r="F66" s="374"/>
      <c r="G66" s="375">
        <f t="shared" si="0"/>
        <v>0</v>
      </c>
      <c r="H66" s="375">
        <f t="shared" si="1"/>
        <v>0</v>
      </c>
      <c r="I66" s="376">
        <v>0</v>
      </c>
    </row>
    <row r="67" spans="1:9" x14ac:dyDescent="0.25">
      <c r="A67" s="373">
        <v>151</v>
      </c>
      <c r="B67" s="374">
        <f>PRRAS!C77</f>
        <v>66</v>
      </c>
      <c r="C67" s="374">
        <f>PRRAS!D77</f>
        <v>0</v>
      </c>
      <c r="D67" s="374">
        <f>PRRAS!E77</f>
        <v>0</v>
      </c>
      <c r="E67" s="374"/>
      <c r="F67" s="374"/>
      <c r="G67" s="375">
        <f t="shared" si="0"/>
        <v>0</v>
      </c>
      <c r="H67" s="375">
        <f t="shared" si="1"/>
        <v>0</v>
      </c>
      <c r="I67" s="376">
        <v>0</v>
      </c>
    </row>
    <row r="68" spans="1:9" x14ac:dyDescent="0.25">
      <c r="A68" s="373">
        <v>151</v>
      </c>
      <c r="B68" s="374">
        <f>PRRAS!C78</f>
        <v>67</v>
      </c>
      <c r="C68" s="374">
        <f>PRRAS!D78</f>
        <v>703032</v>
      </c>
      <c r="D68" s="374">
        <f>PRRAS!E78</f>
        <v>651927</v>
      </c>
      <c r="E68" s="374"/>
      <c r="F68" s="374"/>
      <c r="G68" s="375">
        <f t="shared" si="0"/>
        <v>134461.36199999999</v>
      </c>
      <c r="H68" s="375">
        <f t="shared" si="1"/>
        <v>0</v>
      </c>
      <c r="I68" s="376">
        <v>0</v>
      </c>
    </row>
    <row r="69" spans="1:9" x14ac:dyDescent="0.25">
      <c r="A69" s="373">
        <v>151</v>
      </c>
      <c r="B69" s="374">
        <f>PRRAS!C79</f>
        <v>68</v>
      </c>
      <c r="C69" s="374">
        <f>PRRAS!D79</f>
        <v>5959</v>
      </c>
      <c r="D69" s="374">
        <f>PRRAS!E79</f>
        <v>5352</v>
      </c>
      <c r="E69" s="374"/>
      <c r="F69" s="374"/>
      <c r="G69" s="375">
        <f t="shared" ref="G69:G132" si="2">(B69/1000)*(C69*1+D69*2)</f>
        <v>1133.0840000000001</v>
      </c>
      <c r="H69" s="375">
        <f t="shared" ref="H69:H132" si="3">ABS(C69-ROUND(C69,0))+ABS(D69-ROUND(D69,0))</f>
        <v>0</v>
      </c>
      <c r="I69" s="376">
        <v>0</v>
      </c>
    </row>
    <row r="70" spans="1:9" x14ac:dyDescent="0.25">
      <c r="A70" s="373">
        <v>151</v>
      </c>
      <c r="B70" s="374">
        <f>PRRAS!C80</f>
        <v>69</v>
      </c>
      <c r="C70" s="374">
        <f>PRRAS!D80</f>
        <v>0</v>
      </c>
      <c r="D70" s="374">
        <f>PRRAS!E80</f>
        <v>0</v>
      </c>
      <c r="E70" s="374"/>
      <c r="F70" s="374"/>
      <c r="G70" s="375">
        <f t="shared" si="2"/>
        <v>0</v>
      </c>
      <c r="H70" s="375">
        <f t="shared" si="3"/>
        <v>0</v>
      </c>
      <c r="I70" s="376">
        <v>0</v>
      </c>
    </row>
    <row r="71" spans="1:9" x14ac:dyDescent="0.25">
      <c r="A71" s="373">
        <v>151</v>
      </c>
      <c r="B71" s="374">
        <f>PRRAS!C81</f>
        <v>70</v>
      </c>
      <c r="C71" s="374">
        <f>PRRAS!D81</f>
        <v>5959</v>
      </c>
      <c r="D71" s="374">
        <f>PRRAS!E81</f>
        <v>5352</v>
      </c>
      <c r="E71" s="374"/>
      <c r="F71" s="374"/>
      <c r="G71" s="375">
        <f t="shared" si="2"/>
        <v>1166.4100000000001</v>
      </c>
      <c r="H71" s="375">
        <f t="shared" si="3"/>
        <v>0</v>
      </c>
      <c r="I71" s="376">
        <v>0</v>
      </c>
    </row>
    <row r="72" spans="1:9" x14ac:dyDescent="0.25">
      <c r="A72" s="373">
        <v>151</v>
      </c>
      <c r="B72" s="374">
        <f>PRRAS!C82</f>
        <v>71</v>
      </c>
      <c r="C72" s="374">
        <f>PRRAS!D82</f>
        <v>0</v>
      </c>
      <c r="D72" s="374">
        <f>PRRAS!E82</f>
        <v>0</v>
      </c>
      <c r="E72" s="374"/>
      <c r="F72" s="374"/>
      <c r="G72" s="375">
        <f t="shared" si="2"/>
        <v>0</v>
      </c>
      <c r="H72" s="375">
        <f t="shared" si="3"/>
        <v>0</v>
      </c>
      <c r="I72" s="376">
        <v>0</v>
      </c>
    </row>
    <row r="73" spans="1:9" x14ac:dyDescent="0.25">
      <c r="A73" s="373">
        <v>151</v>
      </c>
      <c r="B73" s="374">
        <f>PRRAS!C83</f>
        <v>72</v>
      </c>
      <c r="C73" s="374">
        <f>PRRAS!D83</f>
        <v>0</v>
      </c>
      <c r="D73" s="374">
        <f>PRRAS!E83</f>
        <v>0</v>
      </c>
      <c r="E73" s="374"/>
      <c r="F73" s="374"/>
      <c r="G73" s="375">
        <f t="shared" si="2"/>
        <v>0</v>
      </c>
      <c r="H73" s="375">
        <f t="shared" si="3"/>
        <v>0</v>
      </c>
      <c r="I73" s="376">
        <v>0</v>
      </c>
    </row>
    <row r="74" spans="1:9" x14ac:dyDescent="0.25">
      <c r="A74" s="373">
        <v>151</v>
      </c>
      <c r="B74" s="374">
        <f>PRRAS!C84</f>
        <v>73</v>
      </c>
      <c r="C74" s="374">
        <f>PRRAS!D84</f>
        <v>0</v>
      </c>
      <c r="D74" s="374">
        <f>PRRAS!E84</f>
        <v>0</v>
      </c>
      <c r="E74" s="374"/>
      <c r="F74" s="374"/>
      <c r="G74" s="375">
        <f t="shared" si="2"/>
        <v>0</v>
      </c>
      <c r="H74" s="375">
        <f t="shared" si="3"/>
        <v>0</v>
      </c>
      <c r="I74" s="376">
        <v>0</v>
      </c>
    </row>
    <row r="75" spans="1:9" x14ac:dyDescent="0.25">
      <c r="A75" s="373">
        <v>151</v>
      </c>
      <c r="B75" s="374">
        <f>PRRAS!C85</f>
        <v>74</v>
      </c>
      <c r="C75" s="374">
        <f>PRRAS!D85</f>
        <v>0</v>
      </c>
      <c r="D75" s="374">
        <f>PRRAS!E85</f>
        <v>0</v>
      </c>
      <c r="E75" s="374"/>
      <c r="F75" s="374"/>
      <c r="G75" s="375">
        <f t="shared" si="2"/>
        <v>0</v>
      </c>
      <c r="H75" s="375">
        <f t="shared" si="3"/>
        <v>0</v>
      </c>
      <c r="I75" s="376">
        <v>0</v>
      </c>
    </row>
    <row r="76" spans="1:9" x14ac:dyDescent="0.25">
      <c r="A76" s="373">
        <v>151</v>
      </c>
      <c r="B76" s="374">
        <f>PRRAS!C86</f>
        <v>75</v>
      </c>
      <c r="C76" s="374">
        <f>PRRAS!D86</f>
        <v>0</v>
      </c>
      <c r="D76" s="374">
        <f>PRRAS!E86</f>
        <v>0</v>
      </c>
      <c r="E76" s="374"/>
      <c r="F76" s="374"/>
      <c r="G76" s="375">
        <f t="shared" si="2"/>
        <v>0</v>
      </c>
      <c r="H76" s="375">
        <f t="shared" si="3"/>
        <v>0</v>
      </c>
      <c r="I76" s="376">
        <v>0</v>
      </c>
    </row>
    <row r="77" spans="1:9" x14ac:dyDescent="0.25">
      <c r="A77" s="373">
        <v>151</v>
      </c>
      <c r="B77" s="374">
        <f>PRRAS!C87</f>
        <v>76</v>
      </c>
      <c r="C77" s="374">
        <f>PRRAS!D87</f>
        <v>697073</v>
      </c>
      <c r="D77" s="374">
        <f>PRRAS!E87</f>
        <v>646575</v>
      </c>
      <c r="E77" s="374"/>
      <c r="F77" s="374"/>
      <c r="G77" s="375">
        <f t="shared" si="2"/>
        <v>151256.948</v>
      </c>
      <c r="H77" s="375">
        <f t="shared" si="3"/>
        <v>0</v>
      </c>
      <c r="I77" s="376">
        <v>0</v>
      </c>
    </row>
    <row r="78" spans="1:9" x14ac:dyDescent="0.25">
      <c r="A78" s="373">
        <v>151</v>
      </c>
      <c r="B78" s="374">
        <f>PRRAS!C88</f>
        <v>77</v>
      </c>
      <c r="C78" s="374">
        <f>PRRAS!D88</f>
        <v>17550</v>
      </c>
      <c r="D78" s="374">
        <f>PRRAS!E88</f>
        <v>7104</v>
      </c>
      <c r="E78" s="374"/>
      <c r="F78" s="374"/>
      <c r="G78" s="375">
        <f t="shared" si="2"/>
        <v>2445.366</v>
      </c>
      <c r="H78" s="375">
        <f t="shared" si="3"/>
        <v>0</v>
      </c>
      <c r="I78" s="376">
        <v>0</v>
      </c>
    </row>
    <row r="79" spans="1:9" x14ac:dyDescent="0.25">
      <c r="A79" s="373">
        <v>151</v>
      </c>
      <c r="B79" s="374">
        <f>PRRAS!C89</f>
        <v>78</v>
      </c>
      <c r="C79" s="374">
        <f>PRRAS!D89</f>
        <v>31864</v>
      </c>
      <c r="D79" s="374">
        <f>PRRAS!E89</f>
        <v>18580</v>
      </c>
      <c r="E79" s="374"/>
      <c r="F79" s="374"/>
      <c r="G79" s="375">
        <f t="shared" si="2"/>
        <v>5383.8720000000003</v>
      </c>
      <c r="H79" s="375">
        <f t="shared" si="3"/>
        <v>0</v>
      </c>
      <c r="I79" s="376">
        <v>0</v>
      </c>
    </row>
    <row r="80" spans="1:9" x14ac:dyDescent="0.25">
      <c r="A80" s="373">
        <v>151</v>
      </c>
      <c r="B80" s="374">
        <f>PRRAS!C90</f>
        <v>79</v>
      </c>
      <c r="C80" s="374">
        <f>PRRAS!D90</f>
        <v>647659</v>
      </c>
      <c r="D80" s="374">
        <f>PRRAS!E90</f>
        <v>620891</v>
      </c>
      <c r="E80" s="374"/>
      <c r="F80" s="374"/>
      <c r="G80" s="375">
        <f t="shared" si="2"/>
        <v>149265.83900000001</v>
      </c>
      <c r="H80" s="375">
        <f t="shared" si="3"/>
        <v>0</v>
      </c>
      <c r="I80" s="376">
        <v>0</v>
      </c>
    </row>
    <row r="81" spans="1:9" x14ac:dyDescent="0.25">
      <c r="A81" s="373">
        <v>151</v>
      </c>
      <c r="B81" s="374">
        <f>PRRAS!C91</f>
        <v>80</v>
      </c>
      <c r="C81" s="374">
        <f>PRRAS!D91</f>
        <v>0</v>
      </c>
      <c r="D81" s="374">
        <f>PRRAS!E91</f>
        <v>0</v>
      </c>
      <c r="E81" s="374"/>
      <c r="F81" s="374"/>
      <c r="G81" s="375">
        <f t="shared" si="2"/>
        <v>0</v>
      </c>
      <c r="H81" s="375">
        <f t="shared" si="3"/>
        <v>0</v>
      </c>
      <c r="I81" s="376">
        <v>0</v>
      </c>
    </row>
    <row r="82" spans="1:9" x14ac:dyDescent="0.25">
      <c r="A82" s="373">
        <v>151</v>
      </c>
      <c r="B82" s="374">
        <f>PRRAS!C92</f>
        <v>81</v>
      </c>
      <c r="C82" s="374">
        <f>PRRAS!D92</f>
        <v>0</v>
      </c>
      <c r="D82" s="374">
        <f>PRRAS!E92</f>
        <v>0</v>
      </c>
      <c r="E82" s="374"/>
      <c r="F82" s="374"/>
      <c r="G82" s="375">
        <f t="shared" si="2"/>
        <v>0</v>
      </c>
      <c r="H82" s="375">
        <f t="shared" si="3"/>
        <v>0</v>
      </c>
      <c r="I82" s="376">
        <v>0</v>
      </c>
    </row>
    <row r="83" spans="1:9" x14ac:dyDescent="0.25">
      <c r="A83" s="373">
        <v>151</v>
      </c>
      <c r="B83" s="374">
        <f>PRRAS!C93</f>
        <v>82</v>
      </c>
      <c r="C83" s="374">
        <f>PRRAS!D93</f>
        <v>0</v>
      </c>
      <c r="D83" s="374">
        <f>PRRAS!E93</f>
        <v>0</v>
      </c>
      <c r="E83" s="374"/>
      <c r="F83" s="374"/>
      <c r="G83" s="375">
        <f t="shared" si="2"/>
        <v>0</v>
      </c>
      <c r="H83" s="375">
        <f t="shared" si="3"/>
        <v>0</v>
      </c>
      <c r="I83" s="376">
        <v>0</v>
      </c>
    </row>
    <row r="84" spans="1:9" x14ac:dyDescent="0.25">
      <c r="A84" s="373">
        <v>151</v>
      </c>
      <c r="B84" s="374">
        <f>PRRAS!C94</f>
        <v>83</v>
      </c>
      <c r="C84" s="374">
        <f>PRRAS!D94</f>
        <v>0</v>
      </c>
      <c r="D84" s="374">
        <f>PRRAS!E94</f>
        <v>0</v>
      </c>
      <c r="E84" s="374"/>
      <c r="F84" s="374"/>
      <c r="G84" s="375">
        <f t="shared" si="2"/>
        <v>0</v>
      </c>
      <c r="H84" s="375">
        <f t="shared" si="3"/>
        <v>0</v>
      </c>
      <c r="I84" s="376">
        <v>0</v>
      </c>
    </row>
    <row r="85" spans="1:9" x14ac:dyDescent="0.25">
      <c r="A85" s="373">
        <v>151</v>
      </c>
      <c r="B85" s="374">
        <f>PRRAS!C95</f>
        <v>84</v>
      </c>
      <c r="C85" s="374">
        <f>PRRAS!D95</f>
        <v>0</v>
      </c>
      <c r="D85" s="374">
        <f>PRRAS!E95</f>
        <v>0</v>
      </c>
      <c r="E85" s="374"/>
      <c r="F85" s="374"/>
      <c r="G85" s="375">
        <f t="shared" si="2"/>
        <v>0</v>
      </c>
      <c r="H85" s="375">
        <f t="shared" si="3"/>
        <v>0</v>
      </c>
      <c r="I85" s="376">
        <v>0</v>
      </c>
    </row>
    <row r="86" spans="1:9" x14ac:dyDescent="0.25">
      <c r="A86" s="373">
        <v>151</v>
      </c>
      <c r="B86" s="374">
        <f>PRRAS!C96</f>
        <v>85</v>
      </c>
      <c r="C86" s="374">
        <f>PRRAS!D96</f>
        <v>0</v>
      </c>
      <c r="D86" s="374">
        <f>PRRAS!E96</f>
        <v>0</v>
      </c>
      <c r="E86" s="374"/>
      <c r="F86" s="374"/>
      <c r="G86" s="375">
        <f t="shared" si="2"/>
        <v>0</v>
      </c>
      <c r="H86" s="375">
        <f t="shared" si="3"/>
        <v>0</v>
      </c>
      <c r="I86" s="376">
        <v>0</v>
      </c>
    </row>
    <row r="87" spans="1:9" x14ac:dyDescent="0.25">
      <c r="A87" s="373">
        <v>151</v>
      </c>
      <c r="B87" s="374">
        <f>PRRAS!C97</f>
        <v>86</v>
      </c>
      <c r="C87" s="374">
        <f>PRRAS!D97</f>
        <v>0</v>
      </c>
      <c r="D87" s="374">
        <f>PRRAS!E97</f>
        <v>0</v>
      </c>
      <c r="E87" s="374"/>
      <c r="F87" s="374"/>
      <c r="G87" s="375">
        <f t="shared" si="2"/>
        <v>0</v>
      </c>
      <c r="H87" s="375">
        <f t="shared" si="3"/>
        <v>0</v>
      </c>
      <c r="I87" s="376">
        <v>0</v>
      </c>
    </row>
    <row r="88" spans="1:9" x14ac:dyDescent="0.25">
      <c r="A88" s="373">
        <v>151</v>
      </c>
      <c r="B88" s="374">
        <f>PRRAS!C98</f>
        <v>87</v>
      </c>
      <c r="C88" s="374">
        <f>PRRAS!D98</f>
        <v>0</v>
      </c>
      <c r="D88" s="374">
        <f>PRRAS!E98</f>
        <v>0</v>
      </c>
      <c r="E88" s="374"/>
      <c r="F88" s="374"/>
      <c r="G88" s="375">
        <f t="shared" si="2"/>
        <v>0</v>
      </c>
      <c r="H88" s="375">
        <f t="shared" si="3"/>
        <v>0</v>
      </c>
      <c r="I88" s="376">
        <v>0</v>
      </c>
    </row>
    <row r="89" spans="1:9" x14ac:dyDescent="0.25">
      <c r="A89" s="373">
        <v>151</v>
      </c>
      <c r="B89" s="374">
        <f>PRRAS!C99</f>
        <v>88</v>
      </c>
      <c r="C89" s="374">
        <f>PRRAS!D99</f>
        <v>0</v>
      </c>
      <c r="D89" s="374">
        <f>PRRAS!E99</f>
        <v>0</v>
      </c>
      <c r="E89" s="374"/>
      <c r="F89" s="374"/>
      <c r="G89" s="375">
        <f t="shared" si="2"/>
        <v>0</v>
      </c>
      <c r="H89" s="375">
        <f t="shared" si="3"/>
        <v>0</v>
      </c>
      <c r="I89" s="376">
        <v>0</v>
      </c>
    </row>
    <row r="90" spans="1:9" x14ac:dyDescent="0.25">
      <c r="A90" s="373">
        <v>151</v>
      </c>
      <c r="B90" s="374">
        <f>PRRAS!C100</f>
        <v>89</v>
      </c>
      <c r="C90" s="374">
        <f>PRRAS!D100</f>
        <v>0</v>
      </c>
      <c r="D90" s="374">
        <f>PRRAS!E100</f>
        <v>0</v>
      </c>
      <c r="E90" s="374"/>
      <c r="F90" s="374"/>
      <c r="G90" s="375">
        <f t="shared" si="2"/>
        <v>0</v>
      </c>
      <c r="H90" s="375">
        <f t="shared" si="3"/>
        <v>0</v>
      </c>
      <c r="I90" s="376">
        <v>0</v>
      </c>
    </row>
    <row r="91" spans="1:9" x14ac:dyDescent="0.25">
      <c r="A91" s="373">
        <v>151</v>
      </c>
      <c r="B91" s="374">
        <f>PRRAS!C101</f>
        <v>90</v>
      </c>
      <c r="C91" s="374">
        <f>PRRAS!D101</f>
        <v>555708</v>
      </c>
      <c r="D91" s="374">
        <f>PRRAS!E101</f>
        <v>697672</v>
      </c>
      <c r="E91" s="374"/>
      <c r="F91" s="374"/>
      <c r="G91" s="375">
        <f t="shared" si="2"/>
        <v>175594.68</v>
      </c>
      <c r="H91" s="375">
        <f t="shared" si="3"/>
        <v>0</v>
      </c>
      <c r="I91" s="376">
        <v>0</v>
      </c>
    </row>
    <row r="92" spans="1:9" x14ac:dyDescent="0.25">
      <c r="A92" s="373">
        <v>151</v>
      </c>
      <c r="B92" s="374">
        <f>PRRAS!C102</f>
        <v>91</v>
      </c>
      <c r="C92" s="374">
        <f>PRRAS!D102</f>
        <v>23937</v>
      </c>
      <c r="D92" s="374">
        <f>PRRAS!E102</f>
        <v>52200</v>
      </c>
      <c r="E92" s="374"/>
      <c r="F92" s="374"/>
      <c r="G92" s="375">
        <f t="shared" si="2"/>
        <v>11678.666999999999</v>
      </c>
      <c r="H92" s="375">
        <f t="shared" si="3"/>
        <v>0</v>
      </c>
      <c r="I92" s="376">
        <v>0</v>
      </c>
    </row>
    <row r="93" spans="1:9" x14ac:dyDescent="0.25">
      <c r="A93" s="373">
        <v>151</v>
      </c>
      <c r="B93" s="374">
        <f>PRRAS!C103</f>
        <v>92</v>
      </c>
      <c r="C93" s="374">
        <f>PRRAS!D103</f>
        <v>0</v>
      </c>
      <c r="D93" s="374">
        <f>PRRAS!E103</f>
        <v>0</v>
      </c>
      <c r="E93" s="374"/>
      <c r="F93" s="374"/>
      <c r="G93" s="375">
        <f t="shared" si="2"/>
        <v>0</v>
      </c>
      <c r="H93" s="375">
        <f t="shared" si="3"/>
        <v>0</v>
      </c>
      <c r="I93" s="376">
        <v>0</v>
      </c>
    </row>
    <row r="94" spans="1:9" x14ac:dyDescent="0.25">
      <c r="A94" s="373">
        <v>151</v>
      </c>
      <c r="B94" s="374">
        <f>PRRAS!C104</f>
        <v>93</v>
      </c>
      <c r="C94" s="374">
        <f>PRRAS!D104</f>
        <v>0</v>
      </c>
      <c r="D94" s="374">
        <f>PRRAS!E104</f>
        <v>0</v>
      </c>
      <c r="E94" s="374"/>
      <c r="F94" s="374"/>
      <c r="G94" s="375">
        <f t="shared" si="2"/>
        <v>0</v>
      </c>
      <c r="H94" s="375">
        <f t="shared" si="3"/>
        <v>0</v>
      </c>
      <c r="I94" s="376">
        <v>0</v>
      </c>
    </row>
    <row r="95" spans="1:9" x14ac:dyDescent="0.25">
      <c r="A95" s="373">
        <v>151</v>
      </c>
      <c r="B95" s="374">
        <f>PRRAS!C105</f>
        <v>94</v>
      </c>
      <c r="C95" s="374">
        <f>PRRAS!D105</f>
        <v>0</v>
      </c>
      <c r="D95" s="374">
        <f>PRRAS!E105</f>
        <v>0</v>
      </c>
      <c r="E95" s="374"/>
      <c r="F95" s="374"/>
      <c r="G95" s="375">
        <f t="shared" si="2"/>
        <v>0</v>
      </c>
      <c r="H95" s="375">
        <f t="shared" si="3"/>
        <v>0</v>
      </c>
      <c r="I95" s="376">
        <v>0</v>
      </c>
    </row>
    <row r="96" spans="1:9" x14ac:dyDescent="0.25">
      <c r="A96" s="373">
        <v>151</v>
      </c>
      <c r="B96" s="374">
        <f>PRRAS!C106</f>
        <v>95</v>
      </c>
      <c r="C96" s="374">
        <f>PRRAS!D106</f>
        <v>23937</v>
      </c>
      <c r="D96" s="374">
        <f>PRRAS!E106</f>
        <v>52200</v>
      </c>
      <c r="E96" s="374"/>
      <c r="F96" s="374"/>
      <c r="G96" s="375">
        <f t="shared" si="2"/>
        <v>12192.014999999999</v>
      </c>
      <c r="H96" s="375">
        <f t="shared" si="3"/>
        <v>0</v>
      </c>
      <c r="I96" s="376">
        <v>0</v>
      </c>
    </row>
    <row r="97" spans="1:9" x14ac:dyDescent="0.25">
      <c r="A97" s="373">
        <v>151</v>
      </c>
      <c r="B97" s="374">
        <f>PRRAS!C107</f>
        <v>96</v>
      </c>
      <c r="C97" s="374">
        <f>PRRAS!D107</f>
        <v>507930</v>
      </c>
      <c r="D97" s="374">
        <f>PRRAS!E107</f>
        <v>616959</v>
      </c>
      <c r="E97" s="374"/>
      <c r="F97" s="374"/>
      <c r="G97" s="375">
        <f t="shared" si="2"/>
        <v>167217.408</v>
      </c>
      <c r="H97" s="375">
        <f t="shared" si="3"/>
        <v>0</v>
      </c>
      <c r="I97" s="376">
        <v>0</v>
      </c>
    </row>
    <row r="98" spans="1:9" x14ac:dyDescent="0.25">
      <c r="A98" s="373">
        <v>151</v>
      </c>
      <c r="B98" s="374">
        <f>PRRAS!C108</f>
        <v>97</v>
      </c>
      <c r="C98" s="374">
        <f>PRRAS!D108</f>
        <v>0</v>
      </c>
      <c r="D98" s="374">
        <f>PRRAS!E108</f>
        <v>0</v>
      </c>
      <c r="E98" s="374"/>
      <c r="F98" s="374"/>
      <c r="G98" s="375">
        <f t="shared" si="2"/>
        <v>0</v>
      </c>
      <c r="H98" s="375">
        <f t="shared" si="3"/>
        <v>0</v>
      </c>
      <c r="I98" s="376">
        <v>0</v>
      </c>
    </row>
    <row r="99" spans="1:9" x14ac:dyDescent="0.25">
      <c r="A99" s="373">
        <v>151</v>
      </c>
      <c r="B99" s="374">
        <f>PRRAS!C109</f>
        <v>98</v>
      </c>
      <c r="C99" s="374">
        <f>PRRAS!D109</f>
        <v>4901</v>
      </c>
      <c r="D99" s="374">
        <f>PRRAS!E109</f>
        <v>9116</v>
      </c>
      <c r="E99" s="374"/>
      <c r="F99" s="374"/>
      <c r="G99" s="375">
        <f t="shared" si="2"/>
        <v>2267.0340000000001</v>
      </c>
      <c r="H99" s="375">
        <f t="shared" si="3"/>
        <v>0</v>
      </c>
      <c r="I99" s="376">
        <v>0</v>
      </c>
    </row>
    <row r="100" spans="1:9" x14ac:dyDescent="0.25">
      <c r="A100" s="373">
        <v>151</v>
      </c>
      <c r="B100" s="374">
        <f>PRRAS!C110</f>
        <v>99</v>
      </c>
      <c r="C100" s="374">
        <f>PRRAS!D110</f>
        <v>496777</v>
      </c>
      <c r="D100" s="374">
        <f>PRRAS!E110</f>
        <v>597076</v>
      </c>
      <c r="E100" s="374"/>
      <c r="F100" s="374"/>
      <c r="G100" s="375">
        <f t="shared" si="2"/>
        <v>167401.97100000002</v>
      </c>
      <c r="H100" s="375">
        <f t="shared" si="3"/>
        <v>0</v>
      </c>
      <c r="I100" s="376">
        <v>0</v>
      </c>
    </row>
    <row r="101" spans="1:9" x14ac:dyDescent="0.25">
      <c r="A101" s="373">
        <v>151</v>
      </c>
      <c r="B101" s="374">
        <f>PRRAS!C111</f>
        <v>100</v>
      </c>
      <c r="C101" s="374">
        <f>PRRAS!D111</f>
        <v>0</v>
      </c>
      <c r="D101" s="374">
        <f>PRRAS!E111</f>
        <v>0</v>
      </c>
      <c r="E101" s="374"/>
      <c r="F101" s="374"/>
      <c r="G101" s="375">
        <f t="shared" si="2"/>
        <v>0</v>
      </c>
      <c r="H101" s="375">
        <f t="shared" si="3"/>
        <v>0</v>
      </c>
      <c r="I101" s="376">
        <v>0</v>
      </c>
    </row>
    <row r="102" spans="1:9" x14ac:dyDescent="0.25">
      <c r="A102" s="373">
        <v>151</v>
      </c>
      <c r="B102" s="374">
        <f>PRRAS!C112</f>
        <v>101</v>
      </c>
      <c r="C102" s="374">
        <f>PRRAS!D112</f>
        <v>6252</v>
      </c>
      <c r="D102" s="374">
        <f>PRRAS!E112</f>
        <v>10767</v>
      </c>
      <c r="E102" s="374"/>
      <c r="F102" s="374"/>
      <c r="G102" s="375">
        <f t="shared" si="2"/>
        <v>2806.386</v>
      </c>
      <c r="H102" s="375">
        <f t="shared" si="3"/>
        <v>0</v>
      </c>
      <c r="I102" s="376">
        <v>0</v>
      </c>
    </row>
    <row r="103" spans="1:9" x14ac:dyDescent="0.25">
      <c r="A103" s="373">
        <v>151</v>
      </c>
      <c r="B103" s="374">
        <f>PRRAS!C113</f>
        <v>102</v>
      </c>
      <c r="C103" s="374">
        <f>PRRAS!D113</f>
        <v>0</v>
      </c>
      <c r="D103" s="374">
        <f>PRRAS!E113</f>
        <v>0</v>
      </c>
      <c r="E103" s="374"/>
      <c r="F103" s="374"/>
      <c r="G103" s="375">
        <f t="shared" si="2"/>
        <v>0</v>
      </c>
      <c r="H103" s="375">
        <f t="shared" si="3"/>
        <v>0</v>
      </c>
      <c r="I103" s="376">
        <v>0</v>
      </c>
    </row>
    <row r="104" spans="1:9" x14ac:dyDescent="0.25">
      <c r="A104" s="373">
        <v>151</v>
      </c>
      <c r="B104" s="374">
        <f>PRRAS!C114</f>
        <v>103</v>
      </c>
      <c r="C104" s="374">
        <f>PRRAS!D114</f>
        <v>23841</v>
      </c>
      <c r="D104" s="374">
        <f>PRRAS!E114</f>
        <v>28513</v>
      </c>
      <c r="E104" s="374"/>
      <c r="F104" s="374"/>
      <c r="G104" s="375">
        <f t="shared" si="2"/>
        <v>8329.3009999999995</v>
      </c>
      <c r="H104" s="375">
        <f t="shared" si="3"/>
        <v>0</v>
      </c>
      <c r="I104" s="376">
        <v>0</v>
      </c>
    </row>
    <row r="105" spans="1:9" x14ac:dyDescent="0.25">
      <c r="A105" s="373">
        <v>151</v>
      </c>
      <c r="B105" s="374">
        <f>PRRAS!C115</f>
        <v>104</v>
      </c>
      <c r="C105" s="374">
        <f>PRRAS!D115</f>
        <v>18141</v>
      </c>
      <c r="D105" s="374">
        <f>PRRAS!E115</f>
        <v>28513</v>
      </c>
      <c r="E105" s="374"/>
      <c r="F105" s="374"/>
      <c r="G105" s="375">
        <f t="shared" si="2"/>
        <v>7817.3679999999995</v>
      </c>
      <c r="H105" s="375">
        <f t="shared" si="3"/>
        <v>0</v>
      </c>
      <c r="I105" s="376">
        <v>0</v>
      </c>
    </row>
    <row r="106" spans="1:9" x14ac:dyDescent="0.25">
      <c r="A106" s="373">
        <v>151</v>
      </c>
      <c r="B106" s="374">
        <f>PRRAS!C116</f>
        <v>105</v>
      </c>
      <c r="C106" s="374">
        <f>PRRAS!D116</f>
        <v>0</v>
      </c>
      <c r="D106" s="374">
        <f>PRRAS!E116</f>
        <v>0</v>
      </c>
      <c r="E106" s="374"/>
      <c r="F106" s="374"/>
      <c r="G106" s="375">
        <f t="shared" si="2"/>
        <v>0</v>
      </c>
      <c r="H106" s="375">
        <f t="shared" si="3"/>
        <v>0</v>
      </c>
      <c r="I106" s="376">
        <v>0</v>
      </c>
    </row>
    <row r="107" spans="1:9" x14ac:dyDescent="0.25">
      <c r="A107" s="373">
        <v>151</v>
      </c>
      <c r="B107" s="374">
        <f>PRRAS!C117</f>
        <v>106</v>
      </c>
      <c r="C107" s="374">
        <f>PRRAS!D117</f>
        <v>5700</v>
      </c>
      <c r="D107" s="374">
        <f>PRRAS!E117</f>
        <v>0</v>
      </c>
      <c r="E107" s="374"/>
      <c r="F107" s="374"/>
      <c r="G107" s="375">
        <f t="shared" si="2"/>
        <v>604.19999999999993</v>
      </c>
      <c r="H107" s="375">
        <f t="shared" si="3"/>
        <v>0</v>
      </c>
      <c r="I107" s="376">
        <v>0</v>
      </c>
    </row>
    <row r="108" spans="1:9" x14ac:dyDescent="0.25">
      <c r="A108" s="373">
        <v>151</v>
      </c>
      <c r="B108" s="374">
        <f>PRRAS!C118</f>
        <v>107</v>
      </c>
      <c r="C108" s="374">
        <f>PRRAS!D118</f>
        <v>0</v>
      </c>
      <c r="D108" s="374">
        <f>PRRAS!E118</f>
        <v>0</v>
      </c>
      <c r="E108" s="374"/>
      <c r="F108" s="374"/>
      <c r="G108" s="375">
        <f t="shared" si="2"/>
        <v>0</v>
      </c>
      <c r="H108" s="375">
        <f t="shared" si="3"/>
        <v>0</v>
      </c>
      <c r="I108" s="376">
        <v>0</v>
      </c>
    </row>
    <row r="109" spans="1:9" x14ac:dyDescent="0.25">
      <c r="A109" s="373">
        <v>151</v>
      </c>
      <c r="B109" s="374">
        <f>PRRAS!C119</f>
        <v>108</v>
      </c>
      <c r="C109" s="374">
        <f>PRRAS!D119</f>
        <v>0</v>
      </c>
      <c r="D109" s="374">
        <f>PRRAS!E119</f>
        <v>0</v>
      </c>
      <c r="E109" s="374"/>
      <c r="F109" s="374"/>
      <c r="G109" s="375">
        <f t="shared" si="2"/>
        <v>0</v>
      </c>
      <c r="H109" s="375">
        <f t="shared" si="3"/>
        <v>0</v>
      </c>
      <c r="I109" s="376">
        <v>0</v>
      </c>
    </row>
    <row r="110" spans="1:9" x14ac:dyDescent="0.25">
      <c r="A110" s="373">
        <v>151</v>
      </c>
      <c r="B110" s="374">
        <f>PRRAS!C120</f>
        <v>109</v>
      </c>
      <c r="C110" s="374">
        <f>PRRAS!D120</f>
        <v>0</v>
      </c>
      <c r="D110" s="374">
        <f>PRRAS!E120</f>
        <v>0</v>
      </c>
      <c r="E110" s="374"/>
      <c r="F110" s="374"/>
      <c r="G110" s="375">
        <f t="shared" si="2"/>
        <v>0</v>
      </c>
      <c r="H110" s="375">
        <f t="shared" si="3"/>
        <v>0</v>
      </c>
      <c r="I110" s="376">
        <v>0</v>
      </c>
    </row>
    <row r="111" spans="1:9" x14ac:dyDescent="0.25">
      <c r="A111" s="373">
        <v>151</v>
      </c>
      <c r="B111" s="374">
        <f>PRRAS!C121</f>
        <v>110</v>
      </c>
      <c r="C111" s="374">
        <f>PRRAS!D121</f>
        <v>0</v>
      </c>
      <c r="D111" s="374">
        <f>PRRAS!E121</f>
        <v>0</v>
      </c>
      <c r="E111" s="374"/>
      <c r="F111" s="374"/>
      <c r="G111" s="375">
        <f t="shared" si="2"/>
        <v>0</v>
      </c>
      <c r="H111" s="375">
        <f t="shared" si="3"/>
        <v>0</v>
      </c>
      <c r="I111" s="376">
        <v>0</v>
      </c>
    </row>
    <row r="112" spans="1:9" x14ac:dyDescent="0.25">
      <c r="A112" s="373">
        <v>151</v>
      </c>
      <c r="B112" s="374">
        <f>PRRAS!C122</f>
        <v>111</v>
      </c>
      <c r="C112" s="374">
        <f>PRRAS!D122</f>
        <v>0</v>
      </c>
      <c r="D112" s="374">
        <f>PRRAS!E122</f>
        <v>0</v>
      </c>
      <c r="E112" s="374"/>
      <c r="F112" s="374"/>
      <c r="G112" s="375">
        <f t="shared" si="2"/>
        <v>0</v>
      </c>
      <c r="H112" s="375">
        <f t="shared" si="3"/>
        <v>0</v>
      </c>
      <c r="I112" s="376">
        <v>0</v>
      </c>
    </row>
    <row r="113" spans="1:9" x14ac:dyDescent="0.25">
      <c r="A113" s="373">
        <v>151</v>
      </c>
      <c r="B113" s="374">
        <f>PRRAS!C123</f>
        <v>112</v>
      </c>
      <c r="C113" s="374">
        <f>PRRAS!D123</f>
        <v>0</v>
      </c>
      <c r="D113" s="374">
        <f>PRRAS!E123</f>
        <v>0</v>
      </c>
      <c r="E113" s="374"/>
      <c r="F113" s="374"/>
      <c r="G113" s="375">
        <f t="shared" si="2"/>
        <v>0</v>
      </c>
      <c r="H113" s="375">
        <f t="shared" si="3"/>
        <v>0</v>
      </c>
      <c r="I113" s="376">
        <v>0</v>
      </c>
    </row>
    <row r="114" spans="1:9" x14ac:dyDescent="0.25">
      <c r="A114" s="373">
        <v>151</v>
      </c>
      <c r="B114" s="374">
        <f>PRRAS!C124</f>
        <v>113</v>
      </c>
      <c r="C114" s="374">
        <f>PRRAS!D124</f>
        <v>0</v>
      </c>
      <c r="D114" s="374">
        <f>PRRAS!E124</f>
        <v>0</v>
      </c>
      <c r="E114" s="374"/>
      <c r="F114" s="374"/>
      <c r="G114" s="375">
        <f t="shared" si="2"/>
        <v>0</v>
      </c>
      <c r="H114" s="375">
        <f t="shared" si="3"/>
        <v>0</v>
      </c>
      <c r="I114" s="376">
        <v>0</v>
      </c>
    </row>
    <row r="115" spans="1:9" x14ac:dyDescent="0.25">
      <c r="A115" s="373">
        <v>151</v>
      </c>
      <c r="B115" s="374">
        <f>PRRAS!C125</f>
        <v>114</v>
      </c>
      <c r="C115" s="374">
        <f>PRRAS!D125</f>
        <v>0</v>
      </c>
      <c r="D115" s="374">
        <f>PRRAS!E125</f>
        <v>0</v>
      </c>
      <c r="E115" s="374"/>
      <c r="F115" s="374"/>
      <c r="G115" s="375">
        <f t="shared" si="2"/>
        <v>0</v>
      </c>
      <c r="H115" s="375">
        <f t="shared" si="3"/>
        <v>0</v>
      </c>
      <c r="I115" s="376">
        <v>0</v>
      </c>
    </row>
    <row r="116" spans="1:9" x14ac:dyDescent="0.25">
      <c r="A116" s="373">
        <v>151</v>
      </c>
      <c r="B116" s="374">
        <f>PRRAS!C126</f>
        <v>115</v>
      </c>
      <c r="C116" s="374">
        <f>PRRAS!D126</f>
        <v>0</v>
      </c>
      <c r="D116" s="374">
        <f>PRRAS!E126</f>
        <v>0</v>
      </c>
      <c r="E116" s="374"/>
      <c r="F116" s="374"/>
      <c r="G116" s="375">
        <f t="shared" si="2"/>
        <v>0</v>
      </c>
      <c r="H116" s="375">
        <f t="shared" si="3"/>
        <v>0</v>
      </c>
      <c r="I116" s="376">
        <v>0</v>
      </c>
    </row>
    <row r="117" spans="1:9" x14ac:dyDescent="0.25">
      <c r="A117" s="373">
        <v>151</v>
      </c>
      <c r="B117" s="374">
        <f>PRRAS!C127</f>
        <v>116</v>
      </c>
      <c r="C117" s="374">
        <f>PRRAS!D127</f>
        <v>0</v>
      </c>
      <c r="D117" s="374">
        <f>PRRAS!E127</f>
        <v>0</v>
      </c>
      <c r="E117" s="374"/>
      <c r="F117" s="374"/>
      <c r="G117" s="375">
        <f t="shared" si="2"/>
        <v>0</v>
      </c>
      <c r="H117" s="375">
        <f t="shared" si="3"/>
        <v>0</v>
      </c>
      <c r="I117" s="376">
        <v>0</v>
      </c>
    </row>
    <row r="118" spans="1:9" x14ac:dyDescent="0.25">
      <c r="A118" s="373">
        <v>151</v>
      </c>
      <c r="B118" s="374">
        <f>PRRAS!C128</f>
        <v>117</v>
      </c>
      <c r="C118" s="374">
        <f>PRRAS!D128</f>
        <v>0</v>
      </c>
      <c r="D118" s="374">
        <f>PRRAS!E128</f>
        <v>0</v>
      </c>
      <c r="E118" s="374"/>
      <c r="F118" s="374"/>
      <c r="G118" s="375">
        <f t="shared" si="2"/>
        <v>0</v>
      </c>
      <c r="H118" s="375">
        <f t="shared" si="3"/>
        <v>0</v>
      </c>
      <c r="I118" s="376">
        <v>0</v>
      </c>
    </row>
    <row r="119" spans="1:9" x14ac:dyDescent="0.25">
      <c r="A119" s="373">
        <v>151</v>
      </c>
      <c r="B119" s="374">
        <f>PRRAS!C129</f>
        <v>118</v>
      </c>
      <c r="C119" s="374">
        <f>PRRAS!D129</f>
        <v>0</v>
      </c>
      <c r="D119" s="374">
        <f>PRRAS!E129</f>
        <v>0</v>
      </c>
      <c r="E119" s="374"/>
      <c r="F119" s="374"/>
      <c r="G119" s="375">
        <f t="shared" si="2"/>
        <v>0</v>
      </c>
      <c r="H119" s="375">
        <f t="shared" si="3"/>
        <v>0</v>
      </c>
      <c r="I119" s="376">
        <v>0</v>
      </c>
    </row>
    <row r="120" spans="1:9" x14ac:dyDescent="0.25">
      <c r="A120" s="373">
        <v>151</v>
      </c>
      <c r="B120" s="374">
        <f>PRRAS!C130</f>
        <v>119</v>
      </c>
      <c r="C120" s="374">
        <f>PRRAS!D130</f>
        <v>0</v>
      </c>
      <c r="D120" s="374">
        <f>PRRAS!E130</f>
        <v>0</v>
      </c>
      <c r="E120" s="374"/>
      <c r="F120" s="374"/>
      <c r="G120" s="375">
        <f t="shared" si="2"/>
        <v>0</v>
      </c>
      <c r="H120" s="375">
        <f t="shared" si="3"/>
        <v>0</v>
      </c>
      <c r="I120" s="376">
        <v>0</v>
      </c>
    </row>
    <row r="121" spans="1:9" x14ac:dyDescent="0.25">
      <c r="A121" s="373">
        <v>151</v>
      </c>
      <c r="B121" s="374">
        <f>PRRAS!C131</f>
        <v>120</v>
      </c>
      <c r="C121" s="374">
        <f>PRRAS!D131</f>
        <v>0</v>
      </c>
      <c r="D121" s="374">
        <f>PRRAS!E131</f>
        <v>0</v>
      </c>
      <c r="E121" s="374"/>
      <c r="F121" s="374"/>
      <c r="G121" s="375">
        <f t="shared" si="2"/>
        <v>0</v>
      </c>
      <c r="H121" s="375">
        <f t="shared" si="3"/>
        <v>0</v>
      </c>
      <c r="I121" s="376">
        <v>0</v>
      </c>
    </row>
    <row r="122" spans="1:9" x14ac:dyDescent="0.25">
      <c r="A122" s="373">
        <v>151</v>
      </c>
      <c r="B122" s="374">
        <f>PRRAS!C132</f>
        <v>121</v>
      </c>
      <c r="C122" s="374">
        <f>PRRAS!D132</f>
        <v>0</v>
      </c>
      <c r="D122" s="374">
        <f>PRRAS!E132</f>
        <v>0</v>
      </c>
      <c r="E122" s="374"/>
      <c r="F122" s="374"/>
      <c r="G122" s="375">
        <f t="shared" si="2"/>
        <v>0</v>
      </c>
      <c r="H122" s="375">
        <f t="shared" si="3"/>
        <v>0</v>
      </c>
      <c r="I122" s="376">
        <v>0</v>
      </c>
    </row>
    <row r="123" spans="1:9" x14ac:dyDescent="0.25">
      <c r="A123" s="373">
        <v>151</v>
      </c>
      <c r="B123" s="374">
        <f>PRRAS!C133</f>
        <v>122</v>
      </c>
      <c r="C123" s="374">
        <f>PRRAS!D133</f>
        <v>0</v>
      </c>
      <c r="D123" s="374">
        <f>PRRAS!E133</f>
        <v>0</v>
      </c>
      <c r="E123" s="374"/>
      <c r="F123" s="374"/>
      <c r="G123" s="375">
        <f t="shared" si="2"/>
        <v>0</v>
      </c>
      <c r="H123" s="375">
        <f t="shared" si="3"/>
        <v>0</v>
      </c>
      <c r="I123" s="376">
        <v>0</v>
      </c>
    </row>
    <row r="124" spans="1:9" x14ac:dyDescent="0.25">
      <c r="A124" s="373">
        <v>151</v>
      </c>
      <c r="B124" s="374">
        <f>PRRAS!C134</f>
        <v>123</v>
      </c>
      <c r="C124" s="374">
        <f>PRRAS!D134</f>
        <v>0</v>
      </c>
      <c r="D124" s="374">
        <f>PRRAS!E134</f>
        <v>0</v>
      </c>
      <c r="E124" s="374"/>
      <c r="F124" s="374"/>
      <c r="G124" s="375">
        <f t="shared" si="2"/>
        <v>0</v>
      </c>
      <c r="H124" s="375">
        <f t="shared" si="3"/>
        <v>0</v>
      </c>
      <c r="I124" s="376">
        <v>0</v>
      </c>
    </row>
    <row r="125" spans="1:9" x14ac:dyDescent="0.25">
      <c r="A125" s="373">
        <v>151</v>
      </c>
      <c r="B125" s="374">
        <f>PRRAS!C135</f>
        <v>124</v>
      </c>
      <c r="C125" s="374">
        <f>PRRAS!D135</f>
        <v>0</v>
      </c>
      <c r="D125" s="374">
        <f>PRRAS!E135</f>
        <v>0</v>
      </c>
      <c r="E125" s="374"/>
      <c r="F125" s="374"/>
      <c r="G125" s="375">
        <f t="shared" si="2"/>
        <v>0</v>
      </c>
      <c r="H125" s="375">
        <f t="shared" si="3"/>
        <v>0</v>
      </c>
      <c r="I125" s="376">
        <v>0</v>
      </c>
    </row>
    <row r="126" spans="1:9" x14ac:dyDescent="0.25">
      <c r="A126" s="373">
        <v>151</v>
      </c>
      <c r="B126" s="374">
        <f>PRRAS!C136</f>
        <v>125</v>
      </c>
      <c r="C126" s="374">
        <f>PRRAS!D136</f>
        <v>0</v>
      </c>
      <c r="D126" s="374">
        <f>PRRAS!E136</f>
        <v>0</v>
      </c>
      <c r="E126" s="374"/>
      <c r="F126" s="374"/>
      <c r="G126" s="375">
        <f t="shared" si="2"/>
        <v>0</v>
      </c>
      <c r="H126" s="375">
        <f t="shared" si="3"/>
        <v>0</v>
      </c>
      <c r="I126" s="376">
        <v>0</v>
      </c>
    </row>
    <row r="127" spans="1:9" x14ac:dyDescent="0.25">
      <c r="A127" s="373">
        <v>151</v>
      </c>
      <c r="B127" s="374">
        <f>PRRAS!C137</f>
        <v>126</v>
      </c>
      <c r="C127" s="374">
        <f>PRRAS!D137</f>
        <v>0</v>
      </c>
      <c r="D127" s="374">
        <f>PRRAS!E137</f>
        <v>0</v>
      </c>
      <c r="E127" s="374"/>
      <c r="F127" s="374"/>
      <c r="G127" s="375">
        <f t="shared" si="2"/>
        <v>0</v>
      </c>
      <c r="H127" s="375">
        <f t="shared" si="3"/>
        <v>0</v>
      </c>
      <c r="I127" s="376">
        <v>0</v>
      </c>
    </row>
    <row r="128" spans="1:9" x14ac:dyDescent="0.25">
      <c r="A128" s="373">
        <v>151</v>
      </c>
      <c r="B128" s="374">
        <f>PRRAS!C138</f>
        <v>127</v>
      </c>
      <c r="C128" s="374">
        <f>PRRAS!D138</f>
        <v>0</v>
      </c>
      <c r="D128" s="374">
        <f>PRRAS!E138</f>
        <v>0</v>
      </c>
      <c r="E128" s="374"/>
      <c r="F128" s="374"/>
      <c r="G128" s="375">
        <f t="shared" si="2"/>
        <v>0</v>
      </c>
      <c r="H128" s="375">
        <f t="shared" si="3"/>
        <v>0</v>
      </c>
      <c r="I128" s="376">
        <v>0</v>
      </c>
    </row>
    <row r="129" spans="1:9" x14ac:dyDescent="0.25">
      <c r="A129" s="373">
        <v>151</v>
      </c>
      <c r="B129" s="374">
        <f>PRRAS!C139</f>
        <v>128</v>
      </c>
      <c r="C129" s="374">
        <f>PRRAS!D139</f>
        <v>0</v>
      </c>
      <c r="D129" s="374">
        <f>PRRAS!E139</f>
        <v>0</v>
      </c>
      <c r="E129" s="374"/>
      <c r="F129" s="374"/>
      <c r="G129" s="375">
        <f t="shared" si="2"/>
        <v>0</v>
      </c>
      <c r="H129" s="375">
        <f t="shared" si="3"/>
        <v>0</v>
      </c>
      <c r="I129" s="376">
        <v>0</v>
      </c>
    </row>
    <row r="130" spans="1:9" x14ac:dyDescent="0.25">
      <c r="A130" s="373">
        <v>151</v>
      </c>
      <c r="B130" s="374">
        <f>PRRAS!C140</f>
        <v>129</v>
      </c>
      <c r="C130" s="374">
        <f>PRRAS!D140</f>
        <v>0</v>
      </c>
      <c r="D130" s="374">
        <f>PRRAS!E140</f>
        <v>0</v>
      </c>
      <c r="E130" s="374"/>
      <c r="F130" s="374"/>
      <c r="G130" s="375">
        <f t="shared" si="2"/>
        <v>0</v>
      </c>
      <c r="H130" s="375">
        <f t="shared" si="3"/>
        <v>0</v>
      </c>
      <c r="I130" s="376">
        <v>0</v>
      </c>
    </row>
    <row r="131" spans="1:9" x14ac:dyDescent="0.25">
      <c r="A131" s="373">
        <v>151</v>
      </c>
      <c r="B131" s="374">
        <f>PRRAS!C141</f>
        <v>130</v>
      </c>
      <c r="C131" s="374">
        <f>PRRAS!D141</f>
        <v>0</v>
      </c>
      <c r="D131" s="374">
        <f>PRRAS!E141</f>
        <v>0</v>
      </c>
      <c r="E131" s="374"/>
      <c r="F131" s="374"/>
      <c r="G131" s="375">
        <f t="shared" si="2"/>
        <v>0</v>
      </c>
      <c r="H131" s="375">
        <f t="shared" si="3"/>
        <v>0</v>
      </c>
      <c r="I131" s="376">
        <v>0</v>
      </c>
    </row>
    <row r="132" spans="1:9" x14ac:dyDescent="0.25">
      <c r="A132" s="373">
        <v>151</v>
      </c>
      <c r="B132" s="374">
        <f>PRRAS!C142</f>
        <v>131</v>
      </c>
      <c r="C132" s="374">
        <f>PRRAS!D142</f>
        <v>0</v>
      </c>
      <c r="D132" s="374">
        <f>PRRAS!E142</f>
        <v>0</v>
      </c>
      <c r="E132" s="374"/>
      <c r="F132" s="374"/>
      <c r="G132" s="375">
        <f t="shared" si="2"/>
        <v>0</v>
      </c>
      <c r="H132" s="375">
        <f t="shared" si="3"/>
        <v>0</v>
      </c>
      <c r="I132" s="376">
        <v>0</v>
      </c>
    </row>
    <row r="133" spans="1:9" x14ac:dyDescent="0.25">
      <c r="A133" s="373">
        <v>151</v>
      </c>
      <c r="B133" s="374">
        <f>PRRAS!C143</f>
        <v>132</v>
      </c>
      <c r="C133" s="374">
        <f>PRRAS!D143</f>
        <v>2931186</v>
      </c>
      <c r="D133" s="374">
        <f>PRRAS!E143</f>
        <v>3252410</v>
      </c>
      <c r="E133" s="374"/>
      <c r="F133" s="374"/>
      <c r="G133" s="375">
        <f t="shared" ref="G133:G196" si="4">(B133/1000)*(C133*1+D133*2)</f>
        <v>1245552.7920000001</v>
      </c>
      <c r="H133" s="375">
        <f t="shared" ref="H133:H196" si="5">ABS(C133-ROUND(C133,0))+ABS(D133-ROUND(D133,0))</f>
        <v>0</v>
      </c>
      <c r="I133" s="376">
        <v>0</v>
      </c>
    </row>
    <row r="134" spans="1:9" x14ac:dyDescent="0.25">
      <c r="A134" s="373">
        <v>151</v>
      </c>
      <c r="B134" s="374">
        <f>PRRAS!C144</f>
        <v>133</v>
      </c>
      <c r="C134" s="374">
        <f>PRRAS!D144</f>
        <v>371587</v>
      </c>
      <c r="D134" s="374">
        <f>PRRAS!E144</f>
        <v>377062</v>
      </c>
      <c r="E134" s="374"/>
      <c r="F134" s="374"/>
      <c r="G134" s="375">
        <f t="shared" si="4"/>
        <v>149719.56299999999</v>
      </c>
      <c r="H134" s="375">
        <f t="shared" si="5"/>
        <v>0</v>
      </c>
      <c r="I134" s="376">
        <v>0</v>
      </c>
    </row>
    <row r="135" spans="1:9" x14ac:dyDescent="0.25">
      <c r="A135" s="373">
        <v>151</v>
      </c>
      <c r="B135" s="374">
        <f>PRRAS!C145</f>
        <v>134</v>
      </c>
      <c r="C135" s="374">
        <f>PRRAS!D145</f>
        <v>312315</v>
      </c>
      <c r="D135" s="374">
        <f>PRRAS!E145</f>
        <v>309172</v>
      </c>
      <c r="E135" s="374"/>
      <c r="F135" s="374"/>
      <c r="G135" s="375">
        <f t="shared" si="4"/>
        <v>124708.30600000001</v>
      </c>
      <c r="H135" s="375">
        <f t="shared" si="5"/>
        <v>0</v>
      </c>
      <c r="I135" s="376">
        <v>0</v>
      </c>
    </row>
    <row r="136" spans="1:9" x14ac:dyDescent="0.25">
      <c r="A136" s="373">
        <v>151</v>
      </c>
      <c r="B136" s="374">
        <f>PRRAS!C146</f>
        <v>135</v>
      </c>
      <c r="C136" s="374">
        <f>PRRAS!D146</f>
        <v>310876</v>
      </c>
      <c r="D136" s="374">
        <f>PRRAS!E146</f>
        <v>308342</v>
      </c>
      <c r="E136" s="374"/>
      <c r="F136" s="374"/>
      <c r="G136" s="375">
        <f t="shared" si="4"/>
        <v>125220.6</v>
      </c>
      <c r="H136" s="375">
        <f t="shared" si="5"/>
        <v>0</v>
      </c>
      <c r="I136" s="376">
        <v>0</v>
      </c>
    </row>
    <row r="137" spans="1:9" x14ac:dyDescent="0.25">
      <c r="A137" s="373">
        <v>151</v>
      </c>
      <c r="B137" s="374">
        <f>PRRAS!C147</f>
        <v>136</v>
      </c>
      <c r="C137" s="374">
        <f>PRRAS!D147</f>
        <v>0</v>
      </c>
      <c r="D137" s="374">
        <f>PRRAS!E147</f>
        <v>0</v>
      </c>
      <c r="E137" s="374"/>
      <c r="F137" s="374"/>
      <c r="G137" s="375">
        <f t="shared" si="4"/>
        <v>0</v>
      </c>
      <c r="H137" s="375">
        <f t="shared" si="5"/>
        <v>0</v>
      </c>
      <c r="I137" s="376">
        <v>0</v>
      </c>
    </row>
    <row r="138" spans="1:9" x14ac:dyDescent="0.25">
      <c r="A138" s="373">
        <v>151</v>
      </c>
      <c r="B138" s="374">
        <f>PRRAS!C148</f>
        <v>137</v>
      </c>
      <c r="C138" s="374">
        <f>PRRAS!D148</f>
        <v>1439</v>
      </c>
      <c r="D138" s="374">
        <f>PRRAS!E148</f>
        <v>830</v>
      </c>
      <c r="E138" s="374"/>
      <c r="F138" s="374"/>
      <c r="G138" s="375">
        <f t="shared" si="4"/>
        <v>424.56300000000005</v>
      </c>
      <c r="H138" s="375">
        <f t="shared" si="5"/>
        <v>0</v>
      </c>
      <c r="I138" s="376">
        <v>0</v>
      </c>
    </row>
    <row r="139" spans="1:9" x14ac:dyDescent="0.25">
      <c r="A139" s="373">
        <v>151</v>
      </c>
      <c r="B139" s="374">
        <f>PRRAS!C149</f>
        <v>138</v>
      </c>
      <c r="C139" s="374">
        <f>PRRAS!D149</f>
        <v>0</v>
      </c>
      <c r="D139" s="374">
        <f>PRRAS!E149</f>
        <v>0</v>
      </c>
      <c r="E139" s="374"/>
      <c r="F139" s="374"/>
      <c r="G139" s="375">
        <f t="shared" si="4"/>
        <v>0</v>
      </c>
      <c r="H139" s="375">
        <f t="shared" si="5"/>
        <v>0</v>
      </c>
      <c r="I139" s="376">
        <v>0</v>
      </c>
    </row>
    <row r="140" spans="1:9" x14ac:dyDescent="0.25">
      <c r="A140" s="373">
        <v>151</v>
      </c>
      <c r="B140" s="374">
        <f>PRRAS!C150</f>
        <v>139</v>
      </c>
      <c r="C140" s="374">
        <f>PRRAS!D150</f>
        <v>11800</v>
      </c>
      <c r="D140" s="374">
        <f>PRRAS!E150</f>
        <v>16800</v>
      </c>
      <c r="E140" s="374"/>
      <c r="F140" s="374"/>
      <c r="G140" s="375">
        <f t="shared" si="4"/>
        <v>6310.6</v>
      </c>
      <c r="H140" s="375">
        <f t="shared" si="5"/>
        <v>0</v>
      </c>
      <c r="I140" s="376">
        <v>0</v>
      </c>
    </row>
    <row r="141" spans="1:9" x14ac:dyDescent="0.25">
      <c r="A141" s="373">
        <v>151</v>
      </c>
      <c r="B141" s="374">
        <f>PRRAS!C151</f>
        <v>140</v>
      </c>
      <c r="C141" s="374">
        <f>PRRAS!D151</f>
        <v>11800</v>
      </c>
      <c r="D141" s="374">
        <f>PRRAS!E151</f>
        <v>16800</v>
      </c>
      <c r="E141" s="374"/>
      <c r="F141" s="374"/>
      <c r="G141" s="375">
        <f t="shared" si="4"/>
        <v>6356.0000000000009</v>
      </c>
      <c r="H141" s="375">
        <f t="shared" si="5"/>
        <v>0</v>
      </c>
      <c r="I141" s="376">
        <v>0</v>
      </c>
    </row>
    <row r="142" spans="1:9" x14ac:dyDescent="0.25">
      <c r="A142" s="373">
        <v>151</v>
      </c>
      <c r="B142" s="374">
        <f>PRRAS!C152</f>
        <v>141</v>
      </c>
      <c r="C142" s="374">
        <f>PRRAS!D152</f>
        <v>47472</v>
      </c>
      <c r="D142" s="374">
        <f>PRRAS!E152</f>
        <v>51090</v>
      </c>
      <c r="E142" s="374"/>
      <c r="F142" s="374"/>
      <c r="G142" s="375">
        <f t="shared" si="4"/>
        <v>21100.931999999997</v>
      </c>
      <c r="H142" s="375">
        <f t="shared" si="5"/>
        <v>0</v>
      </c>
      <c r="I142" s="376">
        <v>0</v>
      </c>
    </row>
    <row r="143" spans="1:9" x14ac:dyDescent="0.25">
      <c r="A143" s="373">
        <v>151</v>
      </c>
      <c r="B143" s="374">
        <f>PRRAS!C153</f>
        <v>142</v>
      </c>
      <c r="C143" s="374">
        <f>PRRAS!D153</f>
        <v>0</v>
      </c>
      <c r="D143" s="374">
        <f>PRRAS!E153</f>
        <v>0</v>
      </c>
      <c r="E143" s="374"/>
      <c r="F143" s="374"/>
      <c r="G143" s="375">
        <f t="shared" si="4"/>
        <v>0</v>
      </c>
      <c r="H143" s="375">
        <f t="shared" si="5"/>
        <v>0</v>
      </c>
      <c r="I143" s="376">
        <v>0</v>
      </c>
    </row>
    <row r="144" spans="1:9" x14ac:dyDescent="0.25">
      <c r="A144" s="373">
        <v>151</v>
      </c>
      <c r="B144" s="374">
        <f>PRRAS!C154</f>
        <v>143</v>
      </c>
      <c r="C144" s="374">
        <f>PRRAS!D154</f>
        <v>42163</v>
      </c>
      <c r="D144" s="374">
        <f>PRRAS!E154</f>
        <v>45919</v>
      </c>
      <c r="E144" s="374"/>
      <c r="F144" s="374"/>
      <c r="G144" s="375">
        <f t="shared" si="4"/>
        <v>19162.143</v>
      </c>
      <c r="H144" s="375">
        <f t="shared" si="5"/>
        <v>0</v>
      </c>
      <c r="I144" s="376">
        <v>0</v>
      </c>
    </row>
    <row r="145" spans="1:9" x14ac:dyDescent="0.25">
      <c r="A145" s="373">
        <v>151</v>
      </c>
      <c r="B145" s="374">
        <f>PRRAS!C155</f>
        <v>144</v>
      </c>
      <c r="C145" s="374">
        <f>PRRAS!D155</f>
        <v>5309</v>
      </c>
      <c r="D145" s="374">
        <f>PRRAS!E155</f>
        <v>5171</v>
      </c>
      <c r="E145" s="374"/>
      <c r="F145" s="374"/>
      <c r="G145" s="375">
        <f t="shared" si="4"/>
        <v>2253.7439999999997</v>
      </c>
      <c r="H145" s="375">
        <f t="shared" si="5"/>
        <v>0</v>
      </c>
      <c r="I145" s="376">
        <v>0</v>
      </c>
    </row>
    <row r="146" spans="1:9" x14ac:dyDescent="0.25">
      <c r="A146" s="373">
        <v>151</v>
      </c>
      <c r="B146" s="374">
        <f>PRRAS!C156</f>
        <v>145</v>
      </c>
      <c r="C146" s="374">
        <f>PRRAS!D156</f>
        <v>1418062</v>
      </c>
      <c r="D146" s="374">
        <f>PRRAS!E156</f>
        <v>946473</v>
      </c>
      <c r="E146" s="374"/>
      <c r="F146" s="374"/>
      <c r="G146" s="375">
        <f t="shared" si="4"/>
        <v>480096.16</v>
      </c>
      <c r="H146" s="375">
        <f t="shared" si="5"/>
        <v>0</v>
      </c>
      <c r="I146" s="376">
        <v>0</v>
      </c>
    </row>
    <row r="147" spans="1:9" x14ac:dyDescent="0.25">
      <c r="A147" s="373">
        <v>151</v>
      </c>
      <c r="B147" s="374">
        <f>PRRAS!C157</f>
        <v>146</v>
      </c>
      <c r="C147" s="374">
        <f>PRRAS!D157</f>
        <v>66319</v>
      </c>
      <c r="D147" s="374">
        <f>PRRAS!E157</f>
        <v>58695</v>
      </c>
      <c r="E147" s="374"/>
      <c r="F147" s="374"/>
      <c r="G147" s="375">
        <f t="shared" si="4"/>
        <v>26821.513999999999</v>
      </c>
      <c r="H147" s="375">
        <f t="shared" si="5"/>
        <v>0</v>
      </c>
      <c r="I147" s="376">
        <v>0</v>
      </c>
    </row>
    <row r="148" spans="1:9" x14ac:dyDescent="0.25">
      <c r="A148" s="373">
        <v>151</v>
      </c>
      <c r="B148" s="374">
        <f>PRRAS!C158</f>
        <v>147</v>
      </c>
      <c r="C148" s="374">
        <f>PRRAS!D158</f>
        <v>3195</v>
      </c>
      <c r="D148" s="374">
        <f>PRRAS!E158</f>
        <v>1691</v>
      </c>
      <c r="E148" s="374"/>
      <c r="F148" s="374"/>
      <c r="G148" s="375">
        <f t="shared" si="4"/>
        <v>966.81899999999996</v>
      </c>
      <c r="H148" s="375">
        <f t="shared" si="5"/>
        <v>0</v>
      </c>
      <c r="I148" s="376">
        <v>0</v>
      </c>
    </row>
    <row r="149" spans="1:9" x14ac:dyDescent="0.25">
      <c r="A149" s="373">
        <v>151</v>
      </c>
      <c r="B149" s="374">
        <f>PRRAS!C159</f>
        <v>148</v>
      </c>
      <c r="C149" s="374">
        <f>PRRAS!D159</f>
        <v>61874</v>
      </c>
      <c r="D149" s="374">
        <f>PRRAS!E159</f>
        <v>57004</v>
      </c>
      <c r="E149" s="374"/>
      <c r="F149" s="374"/>
      <c r="G149" s="375">
        <f t="shared" si="4"/>
        <v>26030.536</v>
      </c>
      <c r="H149" s="375">
        <f t="shared" si="5"/>
        <v>0</v>
      </c>
      <c r="I149" s="376">
        <v>0</v>
      </c>
    </row>
    <row r="150" spans="1:9" x14ac:dyDescent="0.25">
      <c r="A150" s="373">
        <v>151</v>
      </c>
      <c r="B150" s="374">
        <f>PRRAS!C160</f>
        <v>149</v>
      </c>
      <c r="C150" s="374">
        <f>PRRAS!D160</f>
        <v>1250</v>
      </c>
      <c r="D150" s="374">
        <f>PRRAS!E160</f>
        <v>0</v>
      </c>
      <c r="E150" s="374"/>
      <c r="F150" s="374"/>
      <c r="G150" s="375">
        <f t="shared" si="4"/>
        <v>186.25</v>
      </c>
      <c r="H150" s="375">
        <f t="shared" si="5"/>
        <v>0</v>
      </c>
      <c r="I150" s="376">
        <v>0</v>
      </c>
    </row>
    <row r="151" spans="1:9" x14ac:dyDescent="0.25">
      <c r="A151" s="373">
        <v>151</v>
      </c>
      <c r="B151" s="374">
        <f>PRRAS!C161</f>
        <v>150</v>
      </c>
      <c r="C151" s="374">
        <f>PRRAS!D161</f>
        <v>0</v>
      </c>
      <c r="D151" s="374">
        <f>PRRAS!E161</f>
        <v>0</v>
      </c>
      <c r="E151" s="374"/>
      <c r="F151" s="374"/>
      <c r="G151" s="375">
        <f t="shared" si="4"/>
        <v>0</v>
      </c>
      <c r="H151" s="375">
        <f t="shared" si="5"/>
        <v>0</v>
      </c>
      <c r="I151" s="376">
        <v>0</v>
      </c>
    </row>
    <row r="152" spans="1:9" x14ac:dyDescent="0.25">
      <c r="A152" s="373">
        <v>151</v>
      </c>
      <c r="B152" s="374">
        <f>PRRAS!C162</f>
        <v>151</v>
      </c>
      <c r="C152" s="374">
        <f>PRRAS!D162</f>
        <v>261192</v>
      </c>
      <c r="D152" s="374">
        <f>PRRAS!E162</f>
        <v>250122</v>
      </c>
      <c r="E152" s="374"/>
      <c r="F152" s="374"/>
      <c r="G152" s="375">
        <f t="shared" si="4"/>
        <v>114976.836</v>
      </c>
      <c r="H152" s="375">
        <f t="shared" si="5"/>
        <v>0</v>
      </c>
      <c r="I152" s="376">
        <v>0</v>
      </c>
    </row>
    <row r="153" spans="1:9" x14ac:dyDescent="0.25">
      <c r="A153" s="373">
        <v>151</v>
      </c>
      <c r="B153" s="374">
        <f>PRRAS!C163</f>
        <v>152</v>
      </c>
      <c r="C153" s="374">
        <f>PRRAS!D163</f>
        <v>23784</v>
      </c>
      <c r="D153" s="374">
        <f>PRRAS!E163</f>
        <v>11207</v>
      </c>
      <c r="E153" s="374"/>
      <c r="F153" s="374"/>
      <c r="G153" s="375">
        <f t="shared" si="4"/>
        <v>7022.0959999999995</v>
      </c>
      <c r="H153" s="375">
        <f t="shared" si="5"/>
        <v>0</v>
      </c>
      <c r="I153" s="376">
        <v>0</v>
      </c>
    </row>
    <row r="154" spans="1:9" x14ac:dyDescent="0.25">
      <c r="A154" s="373">
        <v>151</v>
      </c>
      <c r="B154" s="374">
        <f>PRRAS!C164</f>
        <v>153</v>
      </c>
      <c r="C154" s="374">
        <f>PRRAS!D164</f>
        <v>0</v>
      </c>
      <c r="D154" s="374">
        <f>PRRAS!E164</f>
        <v>0</v>
      </c>
      <c r="E154" s="374"/>
      <c r="F154" s="374"/>
      <c r="G154" s="375">
        <f t="shared" si="4"/>
        <v>0</v>
      </c>
      <c r="H154" s="375">
        <f t="shared" si="5"/>
        <v>0</v>
      </c>
      <c r="I154" s="376">
        <v>0</v>
      </c>
    </row>
    <row r="155" spans="1:9" x14ac:dyDescent="0.25">
      <c r="A155" s="373">
        <v>151</v>
      </c>
      <c r="B155" s="374">
        <f>PRRAS!C165</f>
        <v>154</v>
      </c>
      <c r="C155" s="374">
        <f>PRRAS!D165</f>
        <v>181504</v>
      </c>
      <c r="D155" s="374">
        <f>PRRAS!E165</f>
        <v>202915</v>
      </c>
      <c r="E155" s="374"/>
      <c r="F155" s="374"/>
      <c r="G155" s="375">
        <f t="shared" si="4"/>
        <v>90449.436000000002</v>
      </c>
      <c r="H155" s="375">
        <f t="shared" si="5"/>
        <v>0</v>
      </c>
      <c r="I155" s="376">
        <v>0</v>
      </c>
    </row>
    <row r="156" spans="1:9" x14ac:dyDescent="0.25">
      <c r="A156" s="373">
        <v>151</v>
      </c>
      <c r="B156" s="374">
        <f>PRRAS!C166</f>
        <v>155</v>
      </c>
      <c r="C156" s="374">
        <f>PRRAS!D166</f>
        <v>51508</v>
      </c>
      <c r="D156" s="374">
        <f>PRRAS!E166</f>
        <v>33868</v>
      </c>
      <c r="E156" s="374"/>
      <c r="F156" s="374"/>
      <c r="G156" s="375">
        <f t="shared" si="4"/>
        <v>18482.82</v>
      </c>
      <c r="H156" s="375">
        <f t="shared" si="5"/>
        <v>0</v>
      </c>
      <c r="I156" s="376">
        <v>0</v>
      </c>
    </row>
    <row r="157" spans="1:9" x14ac:dyDescent="0.25">
      <c r="A157" s="373">
        <v>151</v>
      </c>
      <c r="B157" s="374">
        <f>PRRAS!C167</f>
        <v>156</v>
      </c>
      <c r="C157" s="374">
        <f>PRRAS!D167</f>
        <v>4396</v>
      </c>
      <c r="D157" s="374">
        <f>PRRAS!E167</f>
        <v>2132</v>
      </c>
      <c r="E157" s="374"/>
      <c r="F157" s="374"/>
      <c r="G157" s="375">
        <f t="shared" si="4"/>
        <v>1350.96</v>
      </c>
      <c r="H157" s="375">
        <f t="shared" si="5"/>
        <v>0</v>
      </c>
      <c r="I157" s="376">
        <v>0</v>
      </c>
    </row>
    <row r="158" spans="1:9" x14ac:dyDescent="0.25">
      <c r="A158" s="373">
        <v>151</v>
      </c>
      <c r="B158" s="374">
        <f>PRRAS!C168</f>
        <v>157</v>
      </c>
      <c r="C158" s="374">
        <f>PRRAS!D168</f>
        <v>0</v>
      </c>
      <c r="D158" s="374">
        <f>PRRAS!E168</f>
        <v>0</v>
      </c>
      <c r="E158" s="374"/>
      <c r="F158" s="374"/>
      <c r="G158" s="375">
        <f t="shared" si="4"/>
        <v>0</v>
      </c>
      <c r="H158" s="375">
        <f t="shared" si="5"/>
        <v>0</v>
      </c>
      <c r="I158" s="376">
        <v>0</v>
      </c>
    </row>
    <row r="159" spans="1:9" x14ac:dyDescent="0.25">
      <c r="A159" s="373">
        <v>151</v>
      </c>
      <c r="B159" s="374">
        <f>PRRAS!C169</f>
        <v>158</v>
      </c>
      <c r="C159" s="374">
        <f>PRRAS!D169</f>
        <v>0</v>
      </c>
      <c r="D159" s="374">
        <f>PRRAS!E169</f>
        <v>0</v>
      </c>
      <c r="E159" s="374"/>
      <c r="F159" s="374"/>
      <c r="G159" s="375">
        <f t="shared" si="4"/>
        <v>0</v>
      </c>
      <c r="H159" s="375">
        <f t="shared" si="5"/>
        <v>0</v>
      </c>
      <c r="I159" s="376">
        <v>0</v>
      </c>
    </row>
    <row r="160" spans="1:9" x14ac:dyDescent="0.25">
      <c r="A160" s="373">
        <v>151</v>
      </c>
      <c r="B160" s="374">
        <f>PRRAS!C170</f>
        <v>159</v>
      </c>
      <c r="C160" s="374">
        <f>PRRAS!D170</f>
        <v>608866</v>
      </c>
      <c r="D160" s="374">
        <f>PRRAS!E170</f>
        <v>433534</v>
      </c>
      <c r="E160" s="374"/>
      <c r="F160" s="374"/>
      <c r="G160" s="375">
        <f t="shared" si="4"/>
        <v>234673.50599999999</v>
      </c>
      <c r="H160" s="375">
        <f t="shared" si="5"/>
        <v>0</v>
      </c>
      <c r="I160" s="376">
        <v>0</v>
      </c>
    </row>
    <row r="161" spans="1:9" x14ac:dyDescent="0.25">
      <c r="A161" s="373">
        <v>151</v>
      </c>
      <c r="B161" s="374">
        <f>PRRAS!C171</f>
        <v>160</v>
      </c>
      <c r="C161" s="374">
        <f>PRRAS!D171</f>
        <v>13256</v>
      </c>
      <c r="D161" s="374">
        <f>PRRAS!E171</f>
        <v>11882</v>
      </c>
      <c r="E161" s="374"/>
      <c r="F161" s="374"/>
      <c r="G161" s="375">
        <f t="shared" si="4"/>
        <v>5923.2</v>
      </c>
      <c r="H161" s="375">
        <f t="shared" si="5"/>
        <v>0</v>
      </c>
      <c r="I161" s="376">
        <v>0</v>
      </c>
    </row>
    <row r="162" spans="1:9" x14ac:dyDescent="0.25">
      <c r="A162" s="373">
        <v>151</v>
      </c>
      <c r="B162" s="374">
        <f>PRRAS!C172</f>
        <v>161</v>
      </c>
      <c r="C162" s="374">
        <f>PRRAS!D172</f>
        <v>434358</v>
      </c>
      <c r="D162" s="374">
        <f>PRRAS!E172</f>
        <v>316136</v>
      </c>
      <c r="E162" s="374"/>
      <c r="F162" s="374"/>
      <c r="G162" s="375">
        <f t="shared" si="4"/>
        <v>171727.43</v>
      </c>
      <c r="H162" s="375">
        <f t="shared" si="5"/>
        <v>0</v>
      </c>
      <c r="I162" s="376">
        <v>0</v>
      </c>
    </row>
    <row r="163" spans="1:9" x14ac:dyDescent="0.25">
      <c r="A163" s="373">
        <v>151</v>
      </c>
      <c r="B163" s="374">
        <f>PRRAS!C173</f>
        <v>162</v>
      </c>
      <c r="C163" s="374">
        <f>PRRAS!D173</f>
        <v>4513</v>
      </c>
      <c r="D163" s="374">
        <f>PRRAS!E173</f>
        <v>4063</v>
      </c>
      <c r="E163" s="374"/>
      <c r="F163" s="374"/>
      <c r="G163" s="375">
        <f t="shared" si="4"/>
        <v>2047.518</v>
      </c>
      <c r="H163" s="375">
        <f t="shared" si="5"/>
        <v>0</v>
      </c>
      <c r="I163" s="376">
        <v>0</v>
      </c>
    </row>
    <row r="164" spans="1:9" x14ac:dyDescent="0.25">
      <c r="A164" s="373">
        <v>151</v>
      </c>
      <c r="B164" s="374">
        <f>PRRAS!C174</f>
        <v>163</v>
      </c>
      <c r="C164" s="374">
        <f>PRRAS!D174</f>
        <v>43364</v>
      </c>
      <c r="D164" s="374">
        <f>PRRAS!E174</f>
        <v>34779</v>
      </c>
      <c r="E164" s="374"/>
      <c r="F164" s="374"/>
      <c r="G164" s="375">
        <f t="shared" si="4"/>
        <v>18406.286</v>
      </c>
      <c r="H164" s="375">
        <f t="shared" si="5"/>
        <v>0</v>
      </c>
      <c r="I164" s="376">
        <v>0</v>
      </c>
    </row>
    <row r="165" spans="1:9" x14ac:dyDescent="0.25">
      <c r="A165" s="373">
        <v>151</v>
      </c>
      <c r="B165" s="374">
        <f>PRRAS!C175</f>
        <v>164</v>
      </c>
      <c r="C165" s="374">
        <f>PRRAS!D175</f>
        <v>0</v>
      </c>
      <c r="D165" s="374">
        <f>PRRAS!E175</f>
        <v>0</v>
      </c>
      <c r="E165" s="374"/>
      <c r="F165" s="374"/>
      <c r="G165" s="375">
        <f t="shared" si="4"/>
        <v>0</v>
      </c>
      <c r="H165" s="375">
        <f t="shared" si="5"/>
        <v>0</v>
      </c>
      <c r="I165" s="376">
        <v>0</v>
      </c>
    </row>
    <row r="166" spans="1:9" x14ac:dyDescent="0.25">
      <c r="A166" s="373">
        <v>151</v>
      </c>
      <c r="B166" s="374">
        <f>PRRAS!C176</f>
        <v>165</v>
      </c>
      <c r="C166" s="374">
        <f>PRRAS!D176</f>
        <v>74384</v>
      </c>
      <c r="D166" s="374">
        <f>PRRAS!E176</f>
        <v>31028</v>
      </c>
      <c r="E166" s="374"/>
      <c r="F166" s="374"/>
      <c r="G166" s="375">
        <f t="shared" si="4"/>
        <v>22512.600000000002</v>
      </c>
      <c r="H166" s="375">
        <f t="shared" si="5"/>
        <v>0</v>
      </c>
      <c r="I166" s="376">
        <v>0</v>
      </c>
    </row>
    <row r="167" spans="1:9" x14ac:dyDescent="0.25">
      <c r="A167" s="373">
        <v>151</v>
      </c>
      <c r="B167" s="374">
        <f>PRRAS!C177</f>
        <v>166</v>
      </c>
      <c r="C167" s="374">
        <f>PRRAS!D177</f>
        <v>38991</v>
      </c>
      <c r="D167" s="374">
        <f>PRRAS!E177</f>
        <v>35646</v>
      </c>
      <c r="E167" s="374"/>
      <c r="F167" s="374"/>
      <c r="G167" s="375">
        <f t="shared" si="4"/>
        <v>18306.977999999999</v>
      </c>
      <c r="H167" s="375">
        <f t="shared" si="5"/>
        <v>0</v>
      </c>
      <c r="I167" s="376">
        <v>0</v>
      </c>
    </row>
    <row r="168" spans="1:9" x14ac:dyDescent="0.25">
      <c r="A168" s="373">
        <v>151</v>
      </c>
      <c r="B168" s="374">
        <f>PRRAS!C178</f>
        <v>167</v>
      </c>
      <c r="C168" s="374">
        <f>PRRAS!D178</f>
        <v>0</v>
      </c>
      <c r="D168" s="374">
        <f>PRRAS!E178</f>
        <v>0</v>
      </c>
      <c r="E168" s="374"/>
      <c r="F168" s="374"/>
      <c r="G168" s="375">
        <f t="shared" si="4"/>
        <v>0</v>
      </c>
      <c r="H168" s="375">
        <f t="shared" si="5"/>
        <v>0</v>
      </c>
      <c r="I168" s="376">
        <v>0</v>
      </c>
    </row>
    <row r="169" spans="1:9" x14ac:dyDescent="0.25">
      <c r="A169" s="373">
        <v>151</v>
      </c>
      <c r="B169" s="374">
        <f>PRRAS!C179</f>
        <v>168</v>
      </c>
      <c r="C169" s="374">
        <f>PRRAS!D179</f>
        <v>0</v>
      </c>
      <c r="D169" s="374">
        <f>PRRAS!E179</f>
        <v>0</v>
      </c>
      <c r="E169" s="374"/>
      <c r="F169" s="374"/>
      <c r="G169" s="375">
        <f t="shared" si="4"/>
        <v>0</v>
      </c>
      <c r="H169" s="375">
        <f t="shared" si="5"/>
        <v>0</v>
      </c>
      <c r="I169" s="376">
        <v>0</v>
      </c>
    </row>
    <row r="170" spans="1:9" x14ac:dyDescent="0.25">
      <c r="A170" s="373">
        <v>151</v>
      </c>
      <c r="B170" s="374">
        <f>PRRAS!C180</f>
        <v>169</v>
      </c>
      <c r="C170" s="374">
        <f>PRRAS!D180</f>
        <v>0</v>
      </c>
      <c r="D170" s="374">
        <f>PRRAS!E180</f>
        <v>0</v>
      </c>
      <c r="E170" s="374"/>
      <c r="F170" s="374"/>
      <c r="G170" s="375">
        <f t="shared" si="4"/>
        <v>0</v>
      </c>
      <c r="H170" s="375">
        <f t="shared" si="5"/>
        <v>0</v>
      </c>
      <c r="I170" s="376">
        <v>0</v>
      </c>
    </row>
    <row r="171" spans="1:9" x14ac:dyDescent="0.25">
      <c r="A171" s="373">
        <v>151</v>
      </c>
      <c r="B171" s="374">
        <f>PRRAS!C181</f>
        <v>170</v>
      </c>
      <c r="C171" s="374">
        <f>PRRAS!D181</f>
        <v>0</v>
      </c>
      <c r="D171" s="374">
        <f>PRRAS!E181</f>
        <v>0</v>
      </c>
      <c r="E171" s="374"/>
      <c r="F171" s="374"/>
      <c r="G171" s="375">
        <f t="shared" si="4"/>
        <v>0</v>
      </c>
      <c r="H171" s="375">
        <f t="shared" si="5"/>
        <v>0</v>
      </c>
      <c r="I171" s="376">
        <v>0</v>
      </c>
    </row>
    <row r="172" spans="1:9" x14ac:dyDescent="0.25">
      <c r="A172" s="373">
        <v>151</v>
      </c>
      <c r="B172" s="374">
        <f>PRRAS!C182</f>
        <v>171</v>
      </c>
      <c r="C172" s="374">
        <f>PRRAS!D182</f>
        <v>481685</v>
      </c>
      <c r="D172" s="374">
        <f>PRRAS!E182</f>
        <v>204122</v>
      </c>
      <c r="E172" s="374"/>
      <c r="F172" s="374"/>
      <c r="G172" s="375">
        <f t="shared" si="4"/>
        <v>152177.85900000003</v>
      </c>
      <c r="H172" s="375">
        <f t="shared" si="5"/>
        <v>0</v>
      </c>
      <c r="I172" s="376">
        <v>0</v>
      </c>
    </row>
    <row r="173" spans="1:9" x14ac:dyDescent="0.25">
      <c r="A173" s="373">
        <v>151</v>
      </c>
      <c r="B173" s="374">
        <f>PRRAS!C183</f>
        <v>172</v>
      </c>
      <c r="C173" s="374">
        <f>PRRAS!D183</f>
        <v>447985</v>
      </c>
      <c r="D173" s="374">
        <f>PRRAS!E183</f>
        <v>171262</v>
      </c>
      <c r="E173" s="374"/>
      <c r="F173" s="374"/>
      <c r="G173" s="375">
        <f t="shared" si="4"/>
        <v>135967.54799999998</v>
      </c>
      <c r="H173" s="375">
        <f t="shared" si="5"/>
        <v>0</v>
      </c>
      <c r="I173" s="376">
        <v>0</v>
      </c>
    </row>
    <row r="174" spans="1:9" x14ac:dyDescent="0.25">
      <c r="A174" s="373">
        <v>151</v>
      </c>
      <c r="B174" s="374">
        <f>PRRAS!C184</f>
        <v>173</v>
      </c>
      <c r="C174" s="374">
        <f>PRRAS!D184</f>
        <v>0</v>
      </c>
      <c r="D174" s="374">
        <f>PRRAS!E184</f>
        <v>0</v>
      </c>
      <c r="E174" s="374"/>
      <c r="F174" s="374"/>
      <c r="G174" s="375">
        <f t="shared" si="4"/>
        <v>0</v>
      </c>
      <c r="H174" s="375">
        <f t="shared" si="5"/>
        <v>0</v>
      </c>
      <c r="I174" s="376">
        <v>0</v>
      </c>
    </row>
    <row r="175" spans="1:9" x14ac:dyDescent="0.25">
      <c r="A175" s="373">
        <v>151</v>
      </c>
      <c r="B175" s="374">
        <f>PRRAS!C185</f>
        <v>174</v>
      </c>
      <c r="C175" s="374">
        <f>PRRAS!D185</f>
        <v>16793</v>
      </c>
      <c r="D175" s="374">
        <f>PRRAS!E185</f>
        <v>15985</v>
      </c>
      <c r="E175" s="374"/>
      <c r="F175" s="374"/>
      <c r="G175" s="375">
        <f t="shared" si="4"/>
        <v>8484.7619999999988</v>
      </c>
      <c r="H175" s="375">
        <f t="shared" si="5"/>
        <v>0</v>
      </c>
      <c r="I175" s="376">
        <v>0</v>
      </c>
    </row>
    <row r="176" spans="1:9" x14ac:dyDescent="0.25">
      <c r="A176" s="373">
        <v>151</v>
      </c>
      <c r="B176" s="374">
        <f>PRRAS!C186</f>
        <v>175</v>
      </c>
      <c r="C176" s="374">
        <f>PRRAS!D186</f>
        <v>2000</v>
      </c>
      <c r="D176" s="374">
        <f>PRRAS!E186</f>
        <v>2000</v>
      </c>
      <c r="E176" s="374"/>
      <c r="F176" s="374"/>
      <c r="G176" s="375">
        <f t="shared" si="4"/>
        <v>1050</v>
      </c>
      <c r="H176" s="375">
        <f t="shared" si="5"/>
        <v>0</v>
      </c>
      <c r="I176" s="376">
        <v>0</v>
      </c>
    </row>
    <row r="177" spans="1:9" x14ac:dyDescent="0.25">
      <c r="A177" s="373">
        <v>151</v>
      </c>
      <c r="B177" s="374">
        <f>PRRAS!C187</f>
        <v>176</v>
      </c>
      <c r="C177" s="374">
        <f>PRRAS!D187</f>
        <v>0</v>
      </c>
      <c r="D177" s="374">
        <f>PRRAS!E187</f>
        <v>0</v>
      </c>
      <c r="E177" s="374"/>
      <c r="F177" s="374"/>
      <c r="G177" s="375">
        <f t="shared" si="4"/>
        <v>0</v>
      </c>
      <c r="H177" s="375">
        <f t="shared" si="5"/>
        <v>0</v>
      </c>
      <c r="I177" s="376">
        <v>0</v>
      </c>
    </row>
    <row r="178" spans="1:9" x14ac:dyDescent="0.25">
      <c r="A178" s="373">
        <v>151</v>
      </c>
      <c r="B178" s="374">
        <f>PRRAS!C188</f>
        <v>177</v>
      </c>
      <c r="C178" s="374">
        <f>PRRAS!D188</f>
        <v>14907</v>
      </c>
      <c r="D178" s="374">
        <f>PRRAS!E188</f>
        <v>14875</v>
      </c>
      <c r="E178" s="374"/>
      <c r="F178" s="374"/>
      <c r="G178" s="375">
        <f t="shared" si="4"/>
        <v>7904.2889999999998</v>
      </c>
      <c r="H178" s="375">
        <f t="shared" si="5"/>
        <v>0</v>
      </c>
      <c r="I178" s="376">
        <v>0</v>
      </c>
    </row>
    <row r="179" spans="1:9" x14ac:dyDescent="0.25">
      <c r="A179" s="373">
        <v>151</v>
      </c>
      <c r="B179" s="374">
        <f>PRRAS!C189</f>
        <v>178</v>
      </c>
      <c r="C179" s="374">
        <f>PRRAS!D189</f>
        <v>23059</v>
      </c>
      <c r="D179" s="374">
        <f>PRRAS!E189</f>
        <v>15157</v>
      </c>
      <c r="E179" s="374"/>
      <c r="F179" s="374"/>
      <c r="G179" s="375">
        <f t="shared" si="4"/>
        <v>9500.3940000000002</v>
      </c>
      <c r="H179" s="375">
        <f t="shared" si="5"/>
        <v>0</v>
      </c>
      <c r="I179" s="376">
        <v>0</v>
      </c>
    </row>
    <row r="180" spans="1:9" x14ac:dyDescent="0.25">
      <c r="A180" s="373">
        <v>151</v>
      </c>
      <c r="B180" s="374">
        <f>PRRAS!C190</f>
        <v>179</v>
      </c>
      <c r="C180" s="374">
        <f>PRRAS!D190</f>
        <v>0</v>
      </c>
      <c r="D180" s="374">
        <f>PRRAS!E190</f>
        <v>0</v>
      </c>
      <c r="E180" s="374"/>
      <c r="F180" s="374"/>
      <c r="G180" s="375">
        <f t="shared" si="4"/>
        <v>0</v>
      </c>
      <c r="H180" s="375">
        <f t="shared" si="5"/>
        <v>0</v>
      </c>
      <c r="I180" s="376">
        <v>0</v>
      </c>
    </row>
    <row r="181" spans="1:9" x14ac:dyDescent="0.25">
      <c r="A181" s="373">
        <v>151</v>
      </c>
      <c r="B181" s="374">
        <f>PRRAS!C191</f>
        <v>180</v>
      </c>
      <c r="C181" s="374">
        <f>PRRAS!D191</f>
        <v>0</v>
      </c>
      <c r="D181" s="374">
        <f>PRRAS!E191</f>
        <v>0</v>
      </c>
      <c r="E181" s="374"/>
      <c r="F181" s="374"/>
      <c r="G181" s="375">
        <f t="shared" si="4"/>
        <v>0</v>
      </c>
      <c r="H181" s="375">
        <f t="shared" si="5"/>
        <v>0</v>
      </c>
      <c r="I181" s="376">
        <v>0</v>
      </c>
    </row>
    <row r="182" spans="1:9" x14ac:dyDescent="0.25">
      <c r="A182" s="373">
        <v>151</v>
      </c>
      <c r="B182" s="374">
        <f>PRRAS!C192</f>
        <v>181</v>
      </c>
      <c r="C182" s="374">
        <f>PRRAS!D192</f>
        <v>0</v>
      </c>
      <c r="D182" s="374">
        <f>PRRAS!E192</f>
        <v>0</v>
      </c>
      <c r="E182" s="374"/>
      <c r="F182" s="374"/>
      <c r="G182" s="375">
        <f t="shared" si="4"/>
        <v>0</v>
      </c>
      <c r="H182" s="375">
        <f t="shared" si="5"/>
        <v>0</v>
      </c>
      <c r="I182" s="376">
        <v>0</v>
      </c>
    </row>
    <row r="183" spans="1:9" x14ac:dyDescent="0.25">
      <c r="A183" s="373">
        <v>151</v>
      </c>
      <c r="B183" s="374">
        <f>PRRAS!C193</f>
        <v>182</v>
      </c>
      <c r="C183" s="374">
        <f>PRRAS!D193</f>
        <v>0</v>
      </c>
      <c r="D183" s="374">
        <f>PRRAS!E193</f>
        <v>0</v>
      </c>
      <c r="E183" s="374"/>
      <c r="F183" s="374"/>
      <c r="G183" s="375">
        <f t="shared" si="4"/>
        <v>0</v>
      </c>
      <c r="H183" s="375">
        <f t="shared" si="5"/>
        <v>0</v>
      </c>
      <c r="I183" s="376">
        <v>0</v>
      </c>
    </row>
    <row r="184" spans="1:9" x14ac:dyDescent="0.25">
      <c r="A184" s="373">
        <v>151</v>
      </c>
      <c r="B184" s="374">
        <f>PRRAS!C194</f>
        <v>183</v>
      </c>
      <c r="C184" s="374">
        <f>PRRAS!D194</f>
        <v>0</v>
      </c>
      <c r="D184" s="374">
        <f>PRRAS!E194</f>
        <v>0</v>
      </c>
      <c r="E184" s="374"/>
      <c r="F184" s="374"/>
      <c r="G184" s="375">
        <f t="shared" si="4"/>
        <v>0</v>
      </c>
      <c r="H184" s="375">
        <f t="shared" si="5"/>
        <v>0</v>
      </c>
      <c r="I184" s="376">
        <v>0</v>
      </c>
    </row>
    <row r="185" spans="1:9" x14ac:dyDescent="0.25">
      <c r="A185" s="373">
        <v>151</v>
      </c>
      <c r="B185" s="374">
        <f>PRRAS!C195</f>
        <v>184</v>
      </c>
      <c r="C185" s="374">
        <f>PRRAS!D195</f>
        <v>0</v>
      </c>
      <c r="D185" s="374">
        <f>PRRAS!E195</f>
        <v>0</v>
      </c>
      <c r="E185" s="374"/>
      <c r="F185" s="374"/>
      <c r="G185" s="375">
        <f t="shared" si="4"/>
        <v>0</v>
      </c>
      <c r="H185" s="375">
        <f t="shared" si="5"/>
        <v>0</v>
      </c>
      <c r="I185" s="376">
        <v>0</v>
      </c>
    </row>
    <row r="186" spans="1:9" x14ac:dyDescent="0.25">
      <c r="A186" s="373">
        <v>151</v>
      </c>
      <c r="B186" s="374">
        <f>PRRAS!C196</f>
        <v>185</v>
      </c>
      <c r="C186" s="374">
        <f>PRRAS!D196</f>
        <v>0</v>
      </c>
      <c r="D186" s="374">
        <f>PRRAS!E196</f>
        <v>0</v>
      </c>
      <c r="E186" s="374"/>
      <c r="F186" s="374"/>
      <c r="G186" s="375">
        <f t="shared" si="4"/>
        <v>0</v>
      </c>
      <c r="H186" s="375">
        <f t="shared" si="5"/>
        <v>0</v>
      </c>
      <c r="I186" s="376">
        <v>0</v>
      </c>
    </row>
    <row r="187" spans="1:9" x14ac:dyDescent="0.25">
      <c r="A187" s="373">
        <v>151</v>
      </c>
      <c r="B187" s="374">
        <f>PRRAS!C197</f>
        <v>186</v>
      </c>
      <c r="C187" s="374">
        <f>PRRAS!D197</f>
        <v>0</v>
      </c>
      <c r="D187" s="374">
        <f>PRRAS!E197</f>
        <v>0</v>
      </c>
      <c r="E187" s="374"/>
      <c r="F187" s="374"/>
      <c r="G187" s="375">
        <f t="shared" si="4"/>
        <v>0</v>
      </c>
      <c r="H187" s="375">
        <f t="shared" si="5"/>
        <v>0</v>
      </c>
      <c r="I187" s="376">
        <v>0</v>
      </c>
    </row>
    <row r="188" spans="1:9" x14ac:dyDescent="0.25">
      <c r="A188" s="373">
        <v>151</v>
      </c>
      <c r="B188" s="374">
        <f>PRRAS!C198</f>
        <v>187</v>
      </c>
      <c r="C188" s="374">
        <f>PRRAS!D198</f>
        <v>0</v>
      </c>
      <c r="D188" s="374">
        <f>PRRAS!E198</f>
        <v>0</v>
      </c>
      <c r="E188" s="374"/>
      <c r="F188" s="374"/>
      <c r="G188" s="375">
        <f t="shared" si="4"/>
        <v>0</v>
      </c>
      <c r="H188" s="375">
        <f t="shared" si="5"/>
        <v>0</v>
      </c>
      <c r="I188" s="376">
        <v>0</v>
      </c>
    </row>
    <row r="189" spans="1:9" x14ac:dyDescent="0.25">
      <c r="A189" s="373">
        <v>151</v>
      </c>
      <c r="B189" s="374">
        <f>PRRAS!C199</f>
        <v>188</v>
      </c>
      <c r="C189" s="374">
        <f>PRRAS!D199</f>
        <v>0</v>
      </c>
      <c r="D189" s="374">
        <f>PRRAS!E199</f>
        <v>0</v>
      </c>
      <c r="E189" s="374"/>
      <c r="F189" s="374"/>
      <c r="G189" s="375">
        <f t="shared" si="4"/>
        <v>0</v>
      </c>
      <c r="H189" s="375">
        <f t="shared" si="5"/>
        <v>0</v>
      </c>
      <c r="I189" s="376">
        <v>0</v>
      </c>
    </row>
    <row r="190" spans="1:9" x14ac:dyDescent="0.25">
      <c r="A190" s="373">
        <v>151</v>
      </c>
      <c r="B190" s="374">
        <f>PRRAS!C200</f>
        <v>189</v>
      </c>
      <c r="C190" s="374">
        <f>PRRAS!D200</f>
        <v>0</v>
      </c>
      <c r="D190" s="374">
        <f>PRRAS!E200</f>
        <v>0</v>
      </c>
      <c r="E190" s="374"/>
      <c r="F190" s="374"/>
      <c r="G190" s="375">
        <f t="shared" si="4"/>
        <v>0</v>
      </c>
      <c r="H190" s="375">
        <f t="shared" si="5"/>
        <v>0</v>
      </c>
      <c r="I190" s="376">
        <v>0</v>
      </c>
    </row>
    <row r="191" spans="1:9" x14ac:dyDescent="0.25">
      <c r="A191" s="373">
        <v>151</v>
      </c>
      <c r="B191" s="374">
        <f>PRRAS!C201</f>
        <v>190</v>
      </c>
      <c r="C191" s="374">
        <f>PRRAS!D201</f>
        <v>0</v>
      </c>
      <c r="D191" s="374">
        <f>PRRAS!E201</f>
        <v>0</v>
      </c>
      <c r="E191" s="374"/>
      <c r="F191" s="374"/>
      <c r="G191" s="375">
        <f t="shared" si="4"/>
        <v>0</v>
      </c>
      <c r="H191" s="375">
        <f t="shared" si="5"/>
        <v>0</v>
      </c>
      <c r="I191" s="376">
        <v>0</v>
      </c>
    </row>
    <row r="192" spans="1:9" x14ac:dyDescent="0.25">
      <c r="A192" s="373">
        <v>151</v>
      </c>
      <c r="B192" s="374">
        <f>PRRAS!C202</f>
        <v>191</v>
      </c>
      <c r="C192" s="374">
        <f>PRRAS!D202</f>
        <v>0</v>
      </c>
      <c r="D192" s="374">
        <f>PRRAS!E202</f>
        <v>0</v>
      </c>
      <c r="E192" s="374"/>
      <c r="F192" s="374"/>
      <c r="G192" s="375">
        <f t="shared" si="4"/>
        <v>0</v>
      </c>
      <c r="H192" s="375">
        <f t="shared" si="5"/>
        <v>0</v>
      </c>
      <c r="I192" s="376">
        <v>0</v>
      </c>
    </row>
    <row r="193" spans="1:9" x14ac:dyDescent="0.25">
      <c r="A193" s="373">
        <v>151</v>
      </c>
      <c r="B193" s="374">
        <f>PRRAS!C203</f>
        <v>192</v>
      </c>
      <c r="C193" s="374">
        <f>PRRAS!D203</f>
        <v>23059</v>
      </c>
      <c r="D193" s="374">
        <f>PRRAS!E203</f>
        <v>15157</v>
      </c>
      <c r="E193" s="374"/>
      <c r="F193" s="374"/>
      <c r="G193" s="375">
        <f t="shared" si="4"/>
        <v>10247.616</v>
      </c>
      <c r="H193" s="375">
        <f t="shared" si="5"/>
        <v>0</v>
      </c>
      <c r="I193" s="376">
        <v>0</v>
      </c>
    </row>
    <row r="194" spans="1:9" x14ac:dyDescent="0.25">
      <c r="A194" s="373">
        <v>151</v>
      </c>
      <c r="B194" s="374">
        <f>PRRAS!C204</f>
        <v>193</v>
      </c>
      <c r="C194" s="374">
        <f>PRRAS!D204</f>
        <v>10494</v>
      </c>
      <c r="D194" s="374">
        <f>PRRAS!E204</f>
        <v>8840</v>
      </c>
      <c r="E194" s="374"/>
      <c r="F194" s="374"/>
      <c r="G194" s="375">
        <f t="shared" si="4"/>
        <v>5437.5820000000003</v>
      </c>
      <c r="H194" s="375">
        <f t="shared" si="5"/>
        <v>0</v>
      </c>
      <c r="I194" s="376">
        <v>0</v>
      </c>
    </row>
    <row r="195" spans="1:9" x14ac:dyDescent="0.25">
      <c r="A195" s="373">
        <v>151</v>
      </c>
      <c r="B195" s="374">
        <f>PRRAS!C205</f>
        <v>194</v>
      </c>
      <c r="C195" s="374">
        <f>PRRAS!D205</f>
        <v>0</v>
      </c>
      <c r="D195" s="374">
        <f>PRRAS!E205</f>
        <v>0</v>
      </c>
      <c r="E195" s="374"/>
      <c r="F195" s="374"/>
      <c r="G195" s="375">
        <f t="shared" si="4"/>
        <v>0</v>
      </c>
      <c r="H195" s="375">
        <f t="shared" si="5"/>
        <v>0</v>
      </c>
      <c r="I195" s="376">
        <v>0</v>
      </c>
    </row>
    <row r="196" spans="1:9" x14ac:dyDescent="0.25">
      <c r="A196" s="373">
        <v>151</v>
      </c>
      <c r="B196" s="374">
        <f>PRRAS!C206</f>
        <v>195</v>
      </c>
      <c r="C196" s="374">
        <f>PRRAS!D206</f>
        <v>82</v>
      </c>
      <c r="D196" s="374">
        <f>PRRAS!E206</f>
        <v>35</v>
      </c>
      <c r="E196" s="374"/>
      <c r="F196" s="374"/>
      <c r="G196" s="375">
        <f t="shared" si="4"/>
        <v>29.64</v>
      </c>
      <c r="H196" s="375">
        <f t="shared" si="5"/>
        <v>0</v>
      </c>
      <c r="I196" s="376">
        <v>0</v>
      </c>
    </row>
    <row r="197" spans="1:9" x14ac:dyDescent="0.25">
      <c r="A197" s="373">
        <v>151</v>
      </c>
      <c r="B197" s="374">
        <f>PRRAS!C207</f>
        <v>196</v>
      </c>
      <c r="C197" s="374">
        <f>PRRAS!D207</f>
        <v>12483</v>
      </c>
      <c r="D197" s="374">
        <f>PRRAS!E207</f>
        <v>6282</v>
      </c>
      <c r="E197" s="374"/>
      <c r="F197" s="374"/>
      <c r="G197" s="375">
        <f t="shared" ref="G197:G259" si="6">(B197/1000)*(C197*1+D197*2)</f>
        <v>4909.2120000000004</v>
      </c>
      <c r="H197" s="375">
        <f t="shared" ref="H197:H259" si="7">ABS(C197-ROUND(C197,0))+ABS(D197-ROUND(D197,0))</f>
        <v>0</v>
      </c>
      <c r="I197" s="376">
        <v>0</v>
      </c>
    </row>
    <row r="198" spans="1:9" x14ac:dyDescent="0.25">
      <c r="A198" s="373">
        <v>151</v>
      </c>
      <c r="B198" s="374">
        <f>PRRAS!C208</f>
        <v>197</v>
      </c>
      <c r="C198" s="374">
        <f>PRRAS!D208</f>
        <v>212638</v>
      </c>
      <c r="D198" s="374">
        <f>PRRAS!E208</f>
        <v>199622</v>
      </c>
      <c r="E198" s="374"/>
      <c r="F198" s="374"/>
      <c r="G198" s="375">
        <f t="shared" si="6"/>
        <v>120540.754</v>
      </c>
      <c r="H198" s="375">
        <f t="shared" si="7"/>
        <v>0</v>
      </c>
      <c r="I198" s="376">
        <v>0</v>
      </c>
    </row>
    <row r="199" spans="1:9" x14ac:dyDescent="0.25">
      <c r="A199" s="373">
        <v>151</v>
      </c>
      <c r="B199" s="374">
        <f>PRRAS!C209</f>
        <v>198</v>
      </c>
      <c r="C199" s="374">
        <f>PRRAS!D209</f>
        <v>0</v>
      </c>
      <c r="D199" s="374">
        <f>PRRAS!E209</f>
        <v>0</v>
      </c>
      <c r="E199" s="374"/>
      <c r="F199" s="374"/>
      <c r="G199" s="375">
        <f t="shared" si="6"/>
        <v>0</v>
      </c>
      <c r="H199" s="375">
        <f t="shared" si="7"/>
        <v>0</v>
      </c>
      <c r="I199" s="376">
        <v>0</v>
      </c>
    </row>
    <row r="200" spans="1:9" x14ac:dyDescent="0.25">
      <c r="A200" s="373">
        <v>151</v>
      </c>
      <c r="B200" s="374">
        <f>PRRAS!C210</f>
        <v>199</v>
      </c>
      <c r="C200" s="374">
        <f>PRRAS!D210</f>
        <v>0</v>
      </c>
      <c r="D200" s="374">
        <f>PRRAS!E210</f>
        <v>0</v>
      </c>
      <c r="E200" s="374"/>
      <c r="F200" s="374"/>
      <c r="G200" s="375">
        <f t="shared" si="6"/>
        <v>0</v>
      </c>
      <c r="H200" s="375">
        <f t="shared" si="7"/>
        <v>0</v>
      </c>
      <c r="I200" s="376">
        <v>0</v>
      </c>
    </row>
    <row r="201" spans="1:9" x14ac:dyDescent="0.25">
      <c r="A201" s="373">
        <v>151</v>
      </c>
      <c r="B201" s="374">
        <f>PRRAS!C211</f>
        <v>200</v>
      </c>
      <c r="C201" s="374">
        <f>PRRAS!D211</f>
        <v>0</v>
      </c>
      <c r="D201" s="374">
        <f>PRRAS!E211</f>
        <v>0</v>
      </c>
      <c r="E201" s="374"/>
      <c r="F201" s="374"/>
      <c r="G201" s="375">
        <f t="shared" si="6"/>
        <v>0</v>
      </c>
      <c r="H201" s="375">
        <f t="shared" si="7"/>
        <v>0</v>
      </c>
      <c r="I201" s="376">
        <v>0</v>
      </c>
    </row>
    <row r="202" spans="1:9" x14ac:dyDescent="0.25">
      <c r="A202" s="373">
        <v>151</v>
      </c>
      <c r="B202" s="374">
        <f>PRRAS!C212</f>
        <v>201</v>
      </c>
      <c r="C202" s="374">
        <f>PRRAS!D212</f>
        <v>212638</v>
      </c>
      <c r="D202" s="374">
        <f>PRRAS!E212</f>
        <v>199622</v>
      </c>
      <c r="E202" s="374"/>
      <c r="F202" s="374"/>
      <c r="G202" s="375">
        <f t="shared" si="6"/>
        <v>122988.28200000001</v>
      </c>
      <c r="H202" s="375">
        <f t="shared" si="7"/>
        <v>0</v>
      </c>
      <c r="I202" s="376">
        <v>0</v>
      </c>
    </row>
    <row r="203" spans="1:9" x14ac:dyDescent="0.25">
      <c r="A203" s="373">
        <v>151</v>
      </c>
      <c r="B203" s="374">
        <f>PRRAS!C213</f>
        <v>202</v>
      </c>
      <c r="C203" s="374">
        <f>PRRAS!D213</f>
        <v>0</v>
      </c>
      <c r="D203" s="374">
        <f>PRRAS!E213</f>
        <v>0</v>
      </c>
      <c r="E203" s="374"/>
      <c r="F203" s="374"/>
      <c r="G203" s="375">
        <f t="shared" si="6"/>
        <v>0</v>
      </c>
      <c r="H203" s="375">
        <f t="shared" si="7"/>
        <v>0</v>
      </c>
      <c r="I203" s="376">
        <v>0</v>
      </c>
    </row>
    <row r="204" spans="1:9" x14ac:dyDescent="0.25">
      <c r="A204" s="373">
        <v>151</v>
      </c>
      <c r="B204" s="374">
        <f>PRRAS!C214</f>
        <v>203</v>
      </c>
      <c r="C204" s="374">
        <f>PRRAS!D214</f>
        <v>0</v>
      </c>
      <c r="D204" s="374">
        <f>PRRAS!E214</f>
        <v>0</v>
      </c>
      <c r="E204" s="374"/>
      <c r="F204" s="374"/>
      <c r="G204" s="375">
        <f t="shared" si="6"/>
        <v>0</v>
      </c>
      <c r="H204" s="375">
        <f t="shared" si="7"/>
        <v>0</v>
      </c>
      <c r="I204" s="376">
        <v>0</v>
      </c>
    </row>
    <row r="205" spans="1:9" x14ac:dyDescent="0.25">
      <c r="A205" s="373">
        <v>151</v>
      </c>
      <c r="B205" s="374">
        <f>PRRAS!C215</f>
        <v>204</v>
      </c>
      <c r="C205" s="374">
        <f>PRRAS!D215</f>
        <v>212638</v>
      </c>
      <c r="D205" s="374">
        <f>PRRAS!E215</f>
        <v>199622</v>
      </c>
      <c r="E205" s="374"/>
      <c r="F205" s="374"/>
      <c r="G205" s="375">
        <f t="shared" si="6"/>
        <v>124823.92799999999</v>
      </c>
      <c r="H205" s="375">
        <f t="shared" si="7"/>
        <v>0</v>
      </c>
      <c r="I205" s="376">
        <v>0</v>
      </c>
    </row>
    <row r="206" spans="1:9" x14ac:dyDescent="0.25">
      <c r="A206" s="373">
        <v>151</v>
      </c>
      <c r="B206" s="374">
        <f>PRRAS!C216</f>
        <v>205</v>
      </c>
      <c r="C206" s="374">
        <f>PRRAS!D216</f>
        <v>42013</v>
      </c>
      <c r="D206" s="374">
        <f>PRRAS!E216</f>
        <v>34701</v>
      </c>
      <c r="E206" s="374"/>
      <c r="F206" s="374"/>
      <c r="G206" s="375">
        <f t="shared" si="6"/>
        <v>22840.074999999997</v>
      </c>
      <c r="H206" s="375">
        <f t="shared" si="7"/>
        <v>0</v>
      </c>
      <c r="I206" s="376">
        <v>0</v>
      </c>
    </row>
    <row r="207" spans="1:9" x14ac:dyDescent="0.25">
      <c r="A207" s="373">
        <v>151</v>
      </c>
      <c r="B207" s="374">
        <f>PRRAS!C217</f>
        <v>206</v>
      </c>
      <c r="C207" s="374">
        <f>PRRAS!D217</f>
        <v>0</v>
      </c>
      <c r="D207" s="374">
        <f>PRRAS!E217</f>
        <v>0</v>
      </c>
      <c r="E207" s="374"/>
      <c r="F207" s="374"/>
      <c r="G207" s="375">
        <f t="shared" si="6"/>
        <v>0</v>
      </c>
      <c r="H207" s="375">
        <f t="shared" si="7"/>
        <v>0</v>
      </c>
      <c r="I207" s="376">
        <v>0</v>
      </c>
    </row>
    <row r="208" spans="1:9" x14ac:dyDescent="0.25">
      <c r="A208" s="373">
        <v>151</v>
      </c>
      <c r="B208" s="374">
        <f>PRRAS!C218</f>
        <v>207</v>
      </c>
      <c r="C208" s="374">
        <f>PRRAS!D218</f>
        <v>0</v>
      </c>
      <c r="D208" s="374">
        <f>PRRAS!E218</f>
        <v>0</v>
      </c>
      <c r="E208" s="374"/>
      <c r="F208" s="374"/>
      <c r="G208" s="375">
        <f t="shared" si="6"/>
        <v>0</v>
      </c>
      <c r="H208" s="375">
        <f t="shared" si="7"/>
        <v>0</v>
      </c>
      <c r="I208" s="376">
        <v>0</v>
      </c>
    </row>
    <row r="209" spans="1:9" x14ac:dyDescent="0.25">
      <c r="A209" s="373">
        <v>151</v>
      </c>
      <c r="B209" s="374">
        <f>PRRAS!C219</f>
        <v>208</v>
      </c>
      <c r="C209" s="374">
        <f>PRRAS!D219</f>
        <v>0</v>
      </c>
      <c r="D209" s="374">
        <f>PRRAS!E219</f>
        <v>0</v>
      </c>
      <c r="E209" s="374"/>
      <c r="F209" s="374"/>
      <c r="G209" s="375">
        <f t="shared" si="6"/>
        <v>0</v>
      </c>
      <c r="H209" s="375">
        <f t="shared" si="7"/>
        <v>0</v>
      </c>
      <c r="I209" s="376">
        <v>0</v>
      </c>
    </row>
    <row r="210" spans="1:9" x14ac:dyDescent="0.25">
      <c r="A210" s="373">
        <v>151</v>
      </c>
      <c r="B210" s="374">
        <f>PRRAS!C220</f>
        <v>209</v>
      </c>
      <c r="C210" s="374">
        <f>PRRAS!D220</f>
        <v>0</v>
      </c>
      <c r="D210" s="374">
        <f>PRRAS!E220</f>
        <v>0</v>
      </c>
      <c r="E210" s="374"/>
      <c r="F210" s="374"/>
      <c r="G210" s="375">
        <f t="shared" si="6"/>
        <v>0</v>
      </c>
      <c r="H210" s="375">
        <f t="shared" si="7"/>
        <v>0</v>
      </c>
      <c r="I210" s="376">
        <v>0</v>
      </c>
    </row>
    <row r="211" spans="1:9" x14ac:dyDescent="0.25">
      <c r="A211" s="373">
        <v>151</v>
      </c>
      <c r="B211" s="374">
        <f>PRRAS!C221</f>
        <v>210</v>
      </c>
      <c r="C211" s="374">
        <f>PRRAS!D221</f>
        <v>0</v>
      </c>
      <c r="D211" s="374">
        <f>PRRAS!E221</f>
        <v>0</v>
      </c>
      <c r="E211" s="374"/>
      <c r="F211" s="374"/>
      <c r="G211" s="375">
        <f t="shared" si="6"/>
        <v>0</v>
      </c>
      <c r="H211" s="375">
        <f t="shared" si="7"/>
        <v>0</v>
      </c>
      <c r="I211" s="376">
        <v>0</v>
      </c>
    </row>
    <row r="212" spans="1:9" x14ac:dyDescent="0.25">
      <c r="A212" s="373">
        <v>151</v>
      </c>
      <c r="B212" s="374">
        <f>PRRAS!C222</f>
        <v>211</v>
      </c>
      <c r="C212" s="374">
        <f>PRRAS!D222</f>
        <v>0</v>
      </c>
      <c r="D212" s="374">
        <f>PRRAS!E222</f>
        <v>0</v>
      </c>
      <c r="E212" s="374"/>
      <c r="F212" s="374"/>
      <c r="G212" s="375">
        <f t="shared" si="6"/>
        <v>0</v>
      </c>
      <c r="H212" s="375">
        <f t="shared" si="7"/>
        <v>0</v>
      </c>
      <c r="I212" s="376">
        <v>0</v>
      </c>
    </row>
    <row r="213" spans="1:9" x14ac:dyDescent="0.25">
      <c r="A213" s="373">
        <v>151</v>
      </c>
      <c r="B213" s="374">
        <f>PRRAS!C223</f>
        <v>212</v>
      </c>
      <c r="C213" s="374">
        <f>PRRAS!D223</f>
        <v>42013</v>
      </c>
      <c r="D213" s="374">
        <f>PRRAS!E223</f>
        <v>34701</v>
      </c>
      <c r="E213" s="374"/>
      <c r="F213" s="374"/>
      <c r="G213" s="375">
        <f t="shared" si="6"/>
        <v>23619.98</v>
      </c>
      <c r="H213" s="375">
        <f t="shared" si="7"/>
        <v>0</v>
      </c>
      <c r="I213" s="376">
        <v>0</v>
      </c>
    </row>
    <row r="214" spans="1:9" x14ac:dyDescent="0.25">
      <c r="A214" s="373">
        <v>151</v>
      </c>
      <c r="B214" s="374">
        <f>PRRAS!C224</f>
        <v>213</v>
      </c>
      <c r="C214" s="374">
        <f>PRRAS!D224</f>
        <v>42013</v>
      </c>
      <c r="D214" s="374">
        <f>PRRAS!E224</f>
        <v>34701</v>
      </c>
      <c r="E214" s="374"/>
      <c r="F214" s="374"/>
      <c r="G214" s="375">
        <f t="shared" si="6"/>
        <v>23731.395</v>
      </c>
      <c r="H214" s="375">
        <f t="shared" si="7"/>
        <v>0</v>
      </c>
      <c r="I214" s="376">
        <v>0</v>
      </c>
    </row>
    <row r="215" spans="1:9" x14ac:dyDescent="0.25">
      <c r="A215" s="373">
        <v>151</v>
      </c>
      <c r="B215" s="374">
        <f>PRRAS!C225</f>
        <v>214</v>
      </c>
      <c r="C215" s="374">
        <f>PRRAS!D225</f>
        <v>0</v>
      </c>
      <c r="D215" s="374">
        <f>PRRAS!E225</f>
        <v>0</v>
      </c>
      <c r="E215" s="374"/>
      <c r="F215" s="374"/>
      <c r="G215" s="375">
        <f t="shared" si="6"/>
        <v>0</v>
      </c>
      <c r="H215" s="375">
        <f t="shared" si="7"/>
        <v>0</v>
      </c>
      <c r="I215" s="376">
        <v>0</v>
      </c>
    </row>
    <row r="216" spans="1:9" x14ac:dyDescent="0.25">
      <c r="A216" s="373">
        <v>151</v>
      </c>
      <c r="B216" s="374">
        <f>PRRAS!C226</f>
        <v>215</v>
      </c>
      <c r="C216" s="374">
        <f>PRRAS!D226</f>
        <v>0</v>
      </c>
      <c r="D216" s="374">
        <f>PRRAS!E226</f>
        <v>0</v>
      </c>
      <c r="E216" s="374"/>
      <c r="F216" s="374"/>
      <c r="G216" s="375">
        <f t="shared" si="6"/>
        <v>0</v>
      </c>
      <c r="H216" s="375">
        <f t="shared" si="7"/>
        <v>0</v>
      </c>
      <c r="I216" s="376">
        <v>0</v>
      </c>
    </row>
    <row r="217" spans="1:9" x14ac:dyDescent="0.25">
      <c r="A217" s="373">
        <v>151</v>
      </c>
      <c r="B217" s="374">
        <f>PRRAS!C227</f>
        <v>216</v>
      </c>
      <c r="C217" s="374">
        <f>PRRAS!D227</f>
        <v>0</v>
      </c>
      <c r="D217" s="374">
        <f>PRRAS!E227</f>
        <v>0</v>
      </c>
      <c r="E217" s="374"/>
      <c r="F217" s="374"/>
      <c r="G217" s="375">
        <f t="shared" si="6"/>
        <v>0</v>
      </c>
      <c r="H217" s="375">
        <f t="shared" si="7"/>
        <v>0</v>
      </c>
      <c r="I217" s="376">
        <v>0</v>
      </c>
    </row>
    <row r="218" spans="1:9" x14ac:dyDescent="0.25">
      <c r="A218" s="373">
        <v>151</v>
      </c>
      <c r="B218" s="374">
        <f>PRRAS!C228</f>
        <v>217</v>
      </c>
      <c r="C218" s="374">
        <f>PRRAS!D228</f>
        <v>267152</v>
      </c>
      <c r="D218" s="374">
        <f>PRRAS!E228</f>
        <v>314740</v>
      </c>
      <c r="E218" s="374"/>
      <c r="F218" s="374"/>
      <c r="G218" s="375">
        <f t="shared" si="6"/>
        <v>194569.144</v>
      </c>
      <c r="H218" s="375">
        <f t="shared" si="7"/>
        <v>0</v>
      </c>
      <c r="I218" s="376">
        <v>0</v>
      </c>
    </row>
    <row r="219" spans="1:9" x14ac:dyDescent="0.25">
      <c r="A219" s="373">
        <v>151</v>
      </c>
      <c r="B219" s="374">
        <f>PRRAS!C229</f>
        <v>218</v>
      </c>
      <c r="C219" s="374">
        <f>PRRAS!D229</f>
        <v>0</v>
      </c>
      <c r="D219" s="374">
        <f>PRRAS!E229</f>
        <v>0</v>
      </c>
      <c r="E219" s="374"/>
      <c r="F219" s="374"/>
      <c r="G219" s="375">
        <f t="shared" si="6"/>
        <v>0</v>
      </c>
      <c r="H219" s="375">
        <f t="shared" si="7"/>
        <v>0</v>
      </c>
      <c r="I219" s="376">
        <v>0</v>
      </c>
    </row>
    <row r="220" spans="1:9" x14ac:dyDescent="0.25">
      <c r="A220" s="373">
        <v>151</v>
      </c>
      <c r="B220" s="374">
        <f>PRRAS!C230</f>
        <v>219</v>
      </c>
      <c r="C220" s="374">
        <f>PRRAS!D230</f>
        <v>0</v>
      </c>
      <c r="D220" s="374">
        <f>PRRAS!E230</f>
        <v>0</v>
      </c>
      <c r="E220" s="374"/>
      <c r="F220" s="374"/>
      <c r="G220" s="375">
        <f t="shared" si="6"/>
        <v>0</v>
      </c>
      <c r="H220" s="375">
        <f t="shared" si="7"/>
        <v>0</v>
      </c>
      <c r="I220" s="376">
        <v>0</v>
      </c>
    </row>
    <row r="221" spans="1:9" x14ac:dyDescent="0.25">
      <c r="A221" s="373">
        <v>151</v>
      </c>
      <c r="B221" s="374">
        <f>PRRAS!C231</f>
        <v>220</v>
      </c>
      <c r="C221" s="374">
        <f>PRRAS!D231</f>
        <v>0</v>
      </c>
      <c r="D221" s="374">
        <f>PRRAS!E231</f>
        <v>0</v>
      </c>
      <c r="E221" s="374"/>
      <c r="F221" s="374"/>
      <c r="G221" s="375">
        <f t="shared" si="6"/>
        <v>0</v>
      </c>
      <c r="H221" s="375">
        <f t="shared" si="7"/>
        <v>0</v>
      </c>
      <c r="I221" s="376">
        <v>0</v>
      </c>
    </row>
    <row r="222" spans="1:9" x14ac:dyDescent="0.25">
      <c r="A222" s="373">
        <v>151</v>
      </c>
      <c r="B222" s="374">
        <f>PRRAS!C232</f>
        <v>221</v>
      </c>
      <c r="C222" s="374">
        <f>PRRAS!D232</f>
        <v>267152</v>
      </c>
      <c r="D222" s="374">
        <f>PRRAS!E232</f>
        <v>314740</v>
      </c>
      <c r="E222" s="374"/>
      <c r="F222" s="374"/>
      <c r="G222" s="375">
        <f t="shared" si="6"/>
        <v>198155.67199999999</v>
      </c>
      <c r="H222" s="375">
        <f t="shared" si="7"/>
        <v>0</v>
      </c>
      <c r="I222" s="376">
        <v>0</v>
      </c>
    </row>
    <row r="223" spans="1:9" x14ac:dyDescent="0.25">
      <c r="A223" s="373">
        <v>151</v>
      </c>
      <c r="B223" s="374">
        <f>PRRAS!C233</f>
        <v>222</v>
      </c>
      <c r="C223" s="374">
        <f>PRRAS!D233</f>
        <v>39000</v>
      </c>
      <c r="D223" s="374">
        <f>PRRAS!E233</f>
        <v>30000</v>
      </c>
      <c r="E223" s="374"/>
      <c r="F223" s="374"/>
      <c r="G223" s="375">
        <f t="shared" si="6"/>
        <v>21978</v>
      </c>
      <c r="H223" s="375">
        <f t="shared" si="7"/>
        <v>0</v>
      </c>
      <c r="I223" s="376">
        <v>0</v>
      </c>
    </row>
    <row r="224" spans="1:9" x14ac:dyDescent="0.25">
      <c r="A224" s="373">
        <v>151</v>
      </c>
      <c r="B224" s="374">
        <f>PRRAS!C234</f>
        <v>223</v>
      </c>
      <c r="C224" s="374">
        <f>PRRAS!D234</f>
        <v>228152</v>
      </c>
      <c r="D224" s="374">
        <f>PRRAS!E234</f>
        <v>284740</v>
      </c>
      <c r="E224" s="374"/>
      <c r="F224" s="374"/>
      <c r="G224" s="375">
        <f t="shared" si="6"/>
        <v>177871.93600000002</v>
      </c>
      <c r="H224" s="375">
        <f t="shared" si="7"/>
        <v>0</v>
      </c>
      <c r="I224" s="376">
        <v>0</v>
      </c>
    </row>
    <row r="225" spans="1:9" x14ac:dyDescent="0.25">
      <c r="A225" s="373">
        <v>151</v>
      </c>
      <c r="B225" s="374">
        <f>PRRAS!C235</f>
        <v>224</v>
      </c>
      <c r="C225" s="374">
        <f>PRRAS!D235</f>
        <v>596675</v>
      </c>
      <c r="D225" s="374">
        <f>PRRAS!E235</f>
        <v>1364655</v>
      </c>
      <c r="E225" s="374"/>
      <c r="F225" s="374"/>
      <c r="G225" s="375">
        <f t="shared" si="6"/>
        <v>745020.64</v>
      </c>
      <c r="H225" s="375">
        <f t="shared" si="7"/>
        <v>0</v>
      </c>
      <c r="I225" s="376">
        <v>0</v>
      </c>
    </row>
    <row r="226" spans="1:9" x14ac:dyDescent="0.25">
      <c r="A226" s="373">
        <v>151</v>
      </c>
      <c r="B226" s="374">
        <f>PRRAS!C236</f>
        <v>225</v>
      </c>
      <c r="C226" s="374">
        <f>PRRAS!D236</f>
        <v>296546</v>
      </c>
      <c r="D226" s="374">
        <f>PRRAS!E236</f>
        <v>263190</v>
      </c>
      <c r="E226" s="374"/>
      <c r="F226" s="374"/>
      <c r="G226" s="375">
        <f t="shared" si="6"/>
        <v>185158.35</v>
      </c>
      <c r="H226" s="375">
        <f t="shared" si="7"/>
        <v>0</v>
      </c>
      <c r="I226" s="376">
        <v>0</v>
      </c>
    </row>
    <row r="227" spans="1:9" x14ac:dyDescent="0.25">
      <c r="A227" s="373">
        <v>151</v>
      </c>
      <c r="B227" s="374">
        <f>PRRAS!C237</f>
        <v>226</v>
      </c>
      <c r="C227" s="374">
        <f>PRRAS!D237</f>
        <v>296546</v>
      </c>
      <c r="D227" s="374">
        <f>PRRAS!E237</f>
        <v>263190</v>
      </c>
      <c r="E227" s="374"/>
      <c r="F227" s="374"/>
      <c r="G227" s="375">
        <f t="shared" si="6"/>
        <v>185981.27600000001</v>
      </c>
      <c r="H227" s="375">
        <f t="shared" si="7"/>
        <v>0</v>
      </c>
      <c r="I227" s="376">
        <v>0</v>
      </c>
    </row>
    <row r="228" spans="1:9" x14ac:dyDescent="0.25">
      <c r="A228" s="373">
        <v>151</v>
      </c>
      <c r="B228" s="374">
        <f>PRRAS!C238</f>
        <v>227</v>
      </c>
      <c r="C228" s="374">
        <f>PRRAS!D238</f>
        <v>0</v>
      </c>
      <c r="D228" s="374">
        <f>PRRAS!E238</f>
        <v>0</v>
      </c>
      <c r="E228" s="374"/>
      <c r="F228" s="374"/>
      <c r="G228" s="375">
        <f t="shared" si="6"/>
        <v>0</v>
      </c>
      <c r="H228" s="375">
        <f t="shared" si="7"/>
        <v>0</v>
      </c>
      <c r="I228" s="376">
        <v>0</v>
      </c>
    </row>
    <row r="229" spans="1:9" x14ac:dyDescent="0.25">
      <c r="A229" s="373">
        <v>151</v>
      </c>
      <c r="B229" s="374">
        <f>PRRAS!C239</f>
        <v>228</v>
      </c>
      <c r="C229" s="374">
        <f>PRRAS!D239</f>
        <v>0</v>
      </c>
      <c r="D229" s="374">
        <f>PRRAS!E239</f>
        <v>0</v>
      </c>
      <c r="E229" s="374"/>
      <c r="F229" s="374"/>
      <c r="G229" s="375">
        <f t="shared" si="6"/>
        <v>0</v>
      </c>
      <c r="H229" s="375">
        <f t="shared" si="7"/>
        <v>0</v>
      </c>
      <c r="I229" s="376">
        <v>0</v>
      </c>
    </row>
    <row r="230" spans="1:9" x14ac:dyDescent="0.25">
      <c r="A230" s="373">
        <v>151</v>
      </c>
      <c r="B230" s="374">
        <f>PRRAS!C240</f>
        <v>229</v>
      </c>
      <c r="C230" s="374">
        <f>PRRAS!D240</f>
        <v>0</v>
      </c>
      <c r="D230" s="374">
        <f>PRRAS!E240</f>
        <v>0</v>
      </c>
      <c r="E230" s="374"/>
      <c r="F230" s="374"/>
      <c r="G230" s="375">
        <f t="shared" si="6"/>
        <v>0</v>
      </c>
      <c r="H230" s="375">
        <f t="shared" si="7"/>
        <v>0</v>
      </c>
      <c r="I230" s="376">
        <v>0</v>
      </c>
    </row>
    <row r="231" spans="1:9" x14ac:dyDescent="0.25">
      <c r="A231" s="373">
        <v>151</v>
      </c>
      <c r="B231" s="374">
        <f>PRRAS!C241</f>
        <v>230</v>
      </c>
      <c r="C231" s="374">
        <f>PRRAS!D241</f>
        <v>0</v>
      </c>
      <c r="D231" s="374">
        <f>PRRAS!E241</f>
        <v>0</v>
      </c>
      <c r="E231" s="374"/>
      <c r="F231" s="374"/>
      <c r="G231" s="375">
        <f t="shared" si="6"/>
        <v>0</v>
      </c>
      <c r="H231" s="375">
        <f t="shared" si="7"/>
        <v>0</v>
      </c>
      <c r="I231" s="376">
        <v>0</v>
      </c>
    </row>
    <row r="232" spans="1:9" x14ac:dyDescent="0.25">
      <c r="A232" s="373">
        <v>151</v>
      </c>
      <c r="B232" s="374">
        <f>PRRAS!C242</f>
        <v>231</v>
      </c>
      <c r="C232" s="374">
        <f>PRRAS!D242</f>
        <v>0</v>
      </c>
      <c r="D232" s="374">
        <f>PRRAS!E242</f>
        <v>0</v>
      </c>
      <c r="E232" s="374"/>
      <c r="F232" s="374"/>
      <c r="G232" s="375">
        <f t="shared" si="6"/>
        <v>0</v>
      </c>
      <c r="H232" s="375">
        <f t="shared" si="7"/>
        <v>0</v>
      </c>
      <c r="I232" s="376">
        <v>0</v>
      </c>
    </row>
    <row r="233" spans="1:9" x14ac:dyDescent="0.25">
      <c r="A233" s="373">
        <v>151</v>
      </c>
      <c r="B233" s="374">
        <f>PRRAS!C243</f>
        <v>232</v>
      </c>
      <c r="C233" s="374">
        <f>PRRAS!D243</f>
        <v>0</v>
      </c>
      <c r="D233" s="374">
        <f>PRRAS!E243</f>
        <v>0</v>
      </c>
      <c r="E233" s="374"/>
      <c r="F233" s="374"/>
      <c r="G233" s="375">
        <f t="shared" si="6"/>
        <v>0</v>
      </c>
      <c r="H233" s="375">
        <f t="shared" si="7"/>
        <v>0</v>
      </c>
      <c r="I233" s="376">
        <v>0</v>
      </c>
    </row>
    <row r="234" spans="1:9" x14ac:dyDescent="0.25">
      <c r="A234" s="373">
        <v>151</v>
      </c>
      <c r="B234" s="374">
        <f>PRRAS!C244</f>
        <v>233</v>
      </c>
      <c r="C234" s="374">
        <f>PRRAS!D244</f>
        <v>0</v>
      </c>
      <c r="D234" s="374">
        <f>PRRAS!E244</f>
        <v>0</v>
      </c>
      <c r="E234" s="374"/>
      <c r="F234" s="374"/>
      <c r="G234" s="375">
        <f t="shared" si="6"/>
        <v>0</v>
      </c>
      <c r="H234" s="375">
        <f t="shared" si="7"/>
        <v>0</v>
      </c>
      <c r="I234" s="376">
        <v>0</v>
      </c>
    </row>
    <row r="235" spans="1:9" x14ac:dyDescent="0.25">
      <c r="A235" s="373">
        <v>151</v>
      </c>
      <c r="B235" s="374">
        <f>PRRAS!C245</f>
        <v>234</v>
      </c>
      <c r="C235" s="374">
        <f>PRRAS!D245</f>
        <v>0</v>
      </c>
      <c r="D235" s="374">
        <f>PRRAS!E245</f>
        <v>0</v>
      </c>
      <c r="E235" s="374"/>
      <c r="F235" s="374"/>
      <c r="G235" s="375">
        <f t="shared" si="6"/>
        <v>0</v>
      </c>
      <c r="H235" s="375">
        <f t="shared" si="7"/>
        <v>0</v>
      </c>
      <c r="I235" s="376">
        <v>0</v>
      </c>
    </row>
    <row r="236" spans="1:9" x14ac:dyDescent="0.25">
      <c r="A236" s="373">
        <v>151</v>
      </c>
      <c r="B236" s="374">
        <f>PRRAS!C246</f>
        <v>235</v>
      </c>
      <c r="C236" s="374">
        <f>PRRAS!D246</f>
        <v>0</v>
      </c>
      <c r="D236" s="374">
        <f>PRRAS!E246</f>
        <v>0</v>
      </c>
      <c r="E236" s="374"/>
      <c r="F236" s="374"/>
      <c r="G236" s="375">
        <f t="shared" si="6"/>
        <v>0</v>
      </c>
      <c r="H236" s="375">
        <f t="shared" si="7"/>
        <v>0</v>
      </c>
      <c r="I236" s="376">
        <v>0</v>
      </c>
    </row>
    <row r="237" spans="1:9" x14ac:dyDescent="0.25">
      <c r="A237" s="373">
        <v>151</v>
      </c>
      <c r="B237" s="374">
        <f>PRRAS!C247</f>
        <v>236</v>
      </c>
      <c r="C237" s="374">
        <f>PRRAS!D247</f>
        <v>300129</v>
      </c>
      <c r="D237" s="374">
        <f>PRRAS!E247</f>
        <v>1101465</v>
      </c>
      <c r="E237" s="374"/>
      <c r="F237" s="374"/>
      <c r="G237" s="375">
        <f t="shared" si="6"/>
        <v>590721.924</v>
      </c>
      <c r="H237" s="375">
        <f t="shared" si="7"/>
        <v>0</v>
      </c>
      <c r="I237" s="376">
        <v>0</v>
      </c>
    </row>
    <row r="238" spans="1:9" x14ac:dyDescent="0.25">
      <c r="A238" s="373">
        <v>151</v>
      </c>
      <c r="B238" s="374">
        <f>PRRAS!C248</f>
        <v>237</v>
      </c>
      <c r="C238" s="374">
        <f>PRRAS!D248</f>
        <v>300129</v>
      </c>
      <c r="D238" s="374">
        <f>PRRAS!E248</f>
        <v>1101465</v>
      </c>
      <c r="E238" s="374"/>
      <c r="F238" s="374"/>
      <c r="G238" s="375">
        <f t="shared" si="6"/>
        <v>593224.98300000001</v>
      </c>
      <c r="H238" s="375">
        <f t="shared" si="7"/>
        <v>0</v>
      </c>
      <c r="I238" s="376">
        <v>0</v>
      </c>
    </row>
    <row r="239" spans="1:9" x14ac:dyDescent="0.25">
      <c r="A239" s="373">
        <v>151</v>
      </c>
      <c r="B239" s="374">
        <f>PRRAS!C249</f>
        <v>238</v>
      </c>
      <c r="C239" s="374">
        <f>PRRAS!D249</f>
        <v>0</v>
      </c>
      <c r="D239" s="374">
        <f>PRRAS!E249</f>
        <v>0</v>
      </c>
      <c r="E239" s="374"/>
      <c r="F239" s="374"/>
      <c r="G239" s="375">
        <f t="shared" si="6"/>
        <v>0</v>
      </c>
      <c r="H239" s="375">
        <f t="shared" si="7"/>
        <v>0</v>
      </c>
      <c r="I239" s="376">
        <v>0</v>
      </c>
    </row>
    <row r="240" spans="1:9" x14ac:dyDescent="0.25">
      <c r="A240" s="373">
        <v>151</v>
      </c>
      <c r="B240" s="374">
        <f>PRRAS!C250</f>
        <v>239</v>
      </c>
      <c r="C240" s="374">
        <f>PRRAS!D250</f>
        <v>0</v>
      </c>
      <c r="D240" s="374">
        <f>PRRAS!E250</f>
        <v>0</v>
      </c>
      <c r="E240" s="374"/>
      <c r="F240" s="374"/>
      <c r="G240" s="375">
        <f t="shared" si="6"/>
        <v>0</v>
      </c>
      <c r="H240" s="375">
        <f t="shared" si="7"/>
        <v>0</v>
      </c>
      <c r="I240" s="376">
        <v>0</v>
      </c>
    </row>
    <row r="241" spans="1:9" x14ac:dyDescent="0.25">
      <c r="A241" s="373">
        <v>151</v>
      </c>
      <c r="B241" s="374">
        <f>PRRAS!C251</f>
        <v>240</v>
      </c>
      <c r="C241" s="374">
        <f>PRRAS!D251</f>
        <v>0</v>
      </c>
      <c r="D241" s="374">
        <f>PRRAS!E251</f>
        <v>0</v>
      </c>
      <c r="E241" s="374"/>
      <c r="F241" s="374"/>
      <c r="G241" s="375">
        <f t="shared" si="6"/>
        <v>0</v>
      </c>
      <c r="H241" s="375">
        <f t="shared" si="7"/>
        <v>0</v>
      </c>
      <c r="I241" s="376">
        <v>0</v>
      </c>
    </row>
    <row r="242" spans="1:9" x14ac:dyDescent="0.25">
      <c r="A242" s="373">
        <v>151</v>
      </c>
      <c r="B242" s="374">
        <f>PRRAS!C252</f>
        <v>241</v>
      </c>
      <c r="C242" s="374">
        <f>PRRAS!D252</f>
        <v>0</v>
      </c>
      <c r="D242" s="374">
        <f>PRRAS!E252</f>
        <v>0</v>
      </c>
      <c r="E242" s="374"/>
      <c r="F242" s="374"/>
      <c r="G242" s="375">
        <f t="shared" si="6"/>
        <v>0</v>
      </c>
      <c r="H242" s="375">
        <f t="shared" si="7"/>
        <v>0</v>
      </c>
      <c r="I242" s="376">
        <v>0</v>
      </c>
    </row>
    <row r="243" spans="1:9" x14ac:dyDescent="0.25">
      <c r="A243" s="373">
        <v>151</v>
      </c>
      <c r="B243" s="374">
        <f>PRRAS!C253</f>
        <v>242</v>
      </c>
      <c r="C243" s="374">
        <f>PRRAS!D253</f>
        <v>0</v>
      </c>
      <c r="D243" s="374">
        <f>PRRAS!E253</f>
        <v>0</v>
      </c>
      <c r="E243" s="374"/>
      <c r="F243" s="374"/>
      <c r="G243" s="375">
        <f t="shared" si="6"/>
        <v>0</v>
      </c>
      <c r="H243" s="375">
        <f t="shared" si="7"/>
        <v>0</v>
      </c>
      <c r="I243" s="376">
        <v>0</v>
      </c>
    </row>
    <row r="244" spans="1:9" x14ac:dyDescent="0.25">
      <c r="A244" s="373">
        <v>151</v>
      </c>
      <c r="B244" s="374">
        <f>PRRAS!C254</f>
        <v>243</v>
      </c>
      <c r="C244" s="374">
        <f>PRRAS!D254</f>
        <v>0</v>
      </c>
      <c r="D244" s="374">
        <f>PRRAS!E254</f>
        <v>0</v>
      </c>
      <c r="E244" s="374"/>
      <c r="F244" s="374"/>
      <c r="G244" s="375">
        <f t="shared" si="6"/>
        <v>0</v>
      </c>
      <c r="H244" s="375">
        <f t="shared" si="7"/>
        <v>0</v>
      </c>
      <c r="I244" s="376">
        <v>0</v>
      </c>
    </row>
    <row r="245" spans="1:9" x14ac:dyDescent="0.25">
      <c r="A245" s="373">
        <v>151</v>
      </c>
      <c r="B245" s="374">
        <f>PRRAS!C255</f>
        <v>244</v>
      </c>
      <c r="C245" s="374">
        <f>PRRAS!D255</f>
        <v>2931186</v>
      </c>
      <c r="D245" s="374">
        <f>PRRAS!E255</f>
        <v>3252410</v>
      </c>
      <c r="E245" s="374"/>
      <c r="F245" s="374"/>
      <c r="G245" s="375">
        <f t="shared" si="6"/>
        <v>2302385.4640000002</v>
      </c>
      <c r="H245" s="375">
        <f t="shared" si="7"/>
        <v>0</v>
      </c>
      <c r="I245" s="376">
        <v>0</v>
      </c>
    </row>
    <row r="246" spans="1:9" x14ac:dyDescent="0.25">
      <c r="A246" s="373">
        <v>151</v>
      </c>
      <c r="B246" s="374">
        <f>PRRAS!C256</f>
        <v>245</v>
      </c>
      <c r="C246" s="374">
        <f>PRRAS!D256</f>
        <v>185944</v>
      </c>
      <c r="D246" s="374">
        <f>PRRAS!E256</f>
        <v>0</v>
      </c>
      <c r="E246" s="374"/>
      <c r="F246" s="374"/>
      <c r="G246" s="375">
        <f t="shared" si="6"/>
        <v>45556.28</v>
      </c>
      <c r="H246" s="375">
        <f t="shared" si="7"/>
        <v>0</v>
      </c>
      <c r="I246" s="376">
        <v>0</v>
      </c>
    </row>
    <row r="247" spans="1:9" x14ac:dyDescent="0.25">
      <c r="A247" s="373">
        <v>151</v>
      </c>
      <c r="B247" s="374">
        <f>PRRAS!C257</f>
        <v>246</v>
      </c>
      <c r="C247" s="374">
        <f>PRRAS!D257</f>
        <v>0</v>
      </c>
      <c r="D247" s="374">
        <f>PRRAS!E257</f>
        <v>48717</v>
      </c>
      <c r="E247" s="374"/>
      <c r="F247" s="374"/>
      <c r="G247" s="375">
        <f t="shared" si="6"/>
        <v>23968.763999999999</v>
      </c>
      <c r="H247" s="375">
        <f t="shared" si="7"/>
        <v>0</v>
      </c>
      <c r="I247" s="376">
        <v>0</v>
      </c>
    </row>
    <row r="248" spans="1:9" x14ac:dyDescent="0.25">
      <c r="A248" s="373">
        <v>151</v>
      </c>
      <c r="B248" s="374">
        <f>PRRAS!C258</f>
        <v>247</v>
      </c>
      <c r="C248" s="374">
        <f>PRRAS!D258</f>
        <v>1262772</v>
      </c>
      <c r="D248" s="374">
        <f>PRRAS!E258</f>
        <v>1448714</v>
      </c>
      <c r="E248" s="374"/>
      <c r="F248" s="374"/>
      <c r="G248" s="375">
        <f t="shared" si="6"/>
        <v>1027569.4</v>
      </c>
      <c r="H248" s="375">
        <f t="shared" si="7"/>
        <v>0</v>
      </c>
      <c r="I248" s="376">
        <v>0</v>
      </c>
    </row>
    <row r="249" spans="1:9" x14ac:dyDescent="0.25">
      <c r="A249" s="373">
        <v>151</v>
      </c>
      <c r="B249" s="374">
        <f>PRRAS!C259</f>
        <v>248</v>
      </c>
      <c r="C249" s="374">
        <f>PRRAS!D259</f>
        <v>0</v>
      </c>
      <c r="D249" s="374">
        <f>PRRAS!E259</f>
        <v>0</v>
      </c>
      <c r="E249" s="374"/>
      <c r="F249" s="374"/>
      <c r="G249" s="375">
        <f t="shared" si="6"/>
        <v>0</v>
      </c>
      <c r="H249" s="375">
        <f t="shared" si="7"/>
        <v>0</v>
      </c>
      <c r="I249" s="376">
        <v>0</v>
      </c>
    </row>
    <row r="250" spans="1:9" x14ac:dyDescent="0.25">
      <c r="A250" s="373">
        <v>151</v>
      </c>
      <c r="B250" s="374">
        <f>PRRAS!C260</f>
        <v>249</v>
      </c>
      <c r="C250" s="374">
        <f>PRRAS!D260</f>
        <v>119890</v>
      </c>
      <c r="D250" s="374">
        <f>PRRAS!E260</f>
        <v>155403</v>
      </c>
      <c r="E250" s="374"/>
      <c r="F250" s="374"/>
      <c r="G250" s="375">
        <f t="shared" si="6"/>
        <v>107243.304</v>
      </c>
      <c r="H250" s="375">
        <f t="shared" si="7"/>
        <v>0</v>
      </c>
      <c r="I250" s="376">
        <v>0</v>
      </c>
    </row>
    <row r="251" spans="1:9" x14ac:dyDescent="0.25">
      <c r="A251" s="373">
        <v>151</v>
      </c>
      <c r="B251" s="374">
        <f>PRRAS!C261</f>
        <v>250</v>
      </c>
      <c r="C251" s="374">
        <f>PRRAS!D261</f>
        <v>0</v>
      </c>
      <c r="D251" s="374">
        <f>PRRAS!E261</f>
        <v>0</v>
      </c>
      <c r="E251" s="374"/>
      <c r="F251" s="374"/>
      <c r="G251" s="375">
        <f t="shared" si="6"/>
        <v>0</v>
      </c>
      <c r="H251" s="375">
        <f t="shared" si="7"/>
        <v>0</v>
      </c>
      <c r="I251" s="376">
        <v>0</v>
      </c>
    </row>
    <row r="252" spans="1:9" x14ac:dyDescent="0.25">
      <c r="A252" s="373">
        <v>151</v>
      </c>
      <c r="B252" s="374">
        <f>PRRAS!C263</f>
        <v>251</v>
      </c>
      <c r="C252" s="374">
        <f>PRRAS!D263</f>
        <v>0</v>
      </c>
      <c r="D252" s="374">
        <f>PRRAS!E263</f>
        <v>0</v>
      </c>
      <c r="E252" s="374"/>
      <c r="F252" s="374"/>
      <c r="G252" s="375">
        <f t="shared" si="6"/>
        <v>0</v>
      </c>
      <c r="H252" s="375">
        <f t="shared" si="7"/>
        <v>0</v>
      </c>
      <c r="I252" s="376">
        <v>0</v>
      </c>
    </row>
    <row r="253" spans="1:9" x14ac:dyDescent="0.25">
      <c r="A253" s="373">
        <v>151</v>
      </c>
      <c r="B253" s="374">
        <f>PRRAS!C264</f>
        <v>252</v>
      </c>
      <c r="C253" s="374">
        <f>PRRAS!D264</f>
        <v>0</v>
      </c>
      <c r="D253" s="374">
        <f>PRRAS!E264</f>
        <v>0</v>
      </c>
      <c r="E253" s="374"/>
      <c r="F253" s="374"/>
      <c r="G253" s="375">
        <f t="shared" si="6"/>
        <v>0</v>
      </c>
      <c r="H253" s="375">
        <f t="shared" si="7"/>
        <v>0</v>
      </c>
      <c r="I253" s="376">
        <v>0</v>
      </c>
    </row>
    <row r="254" spans="1:9" x14ac:dyDescent="0.25">
      <c r="A254" s="373">
        <v>151</v>
      </c>
      <c r="B254" s="374">
        <f>PRRAS!C265</f>
        <v>253</v>
      </c>
      <c r="C254" s="374">
        <f>PRRAS!D265</f>
        <v>0</v>
      </c>
      <c r="D254" s="374">
        <f>PRRAS!E265</f>
        <v>0</v>
      </c>
      <c r="E254" s="374"/>
      <c r="F254" s="374"/>
      <c r="G254" s="375">
        <f t="shared" si="6"/>
        <v>0</v>
      </c>
      <c r="H254" s="375">
        <f t="shared" si="7"/>
        <v>0</v>
      </c>
      <c r="I254" s="376">
        <v>0</v>
      </c>
    </row>
    <row r="255" spans="1:9" x14ac:dyDescent="0.25">
      <c r="A255" s="373">
        <v>151</v>
      </c>
      <c r="B255" s="374">
        <f>PRRAS!C266</f>
        <v>254</v>
      </c>
      <c r="C255" s="374">
        <f>PRRAS!D266</f>
        <v>0</v>
      </c>
      <c r="D255" s="374">
        <f>PRRAS!E266</f>
        <v>0</v>
      </c>
      <c r="E255" s="374"/>
      <c r="F255" s="374"/>
      <c r="G255" s="375">
        <f t="shared" si="6"/>
        <v>0</v>
      </c>
      <c r="H255" s="375">
        <f t="shared" si="7"/>
        <v>0</v>
      </c>
      <c r="I255" s="376">
        <v>0</v>
      </c>
    </row>
    <row r="256" spans="1:9" x14ac:dyDescent="0.25">
      <c r="A256" s="373">
        <v>151</v>
      </c>
      <c r="B256" s="374">
        <f>PRRAS!C267</f>
        <v>255</v>
      </c>
      <c r="C256" s="374">
        <f>PRRAS!D267</f>
        <v>0</v>
      </c>
      <c r="D256" s="374">
        <f>PRRAS!E267</f>
        <v>0</v>
      </c>
      <c r="E256" s="374"/>
      <c r="F256" s="374"/>
      <c r="G256" s="375">
        <f t="shared" si="6"/>
        <v>0</v>
      </c>
      <c r="H256" s="375">
        <f t="shared" si="7"/>
        <v>0</v>
      </c>
      <c r="I256" s="376">
        <v>0</v>
      </c>
    </row>
    <row r="257" spans="1:9" x14ac:dyDescent="0.25">
      <c r="A257" s="373">
        <v>151</v>
      </c>
      <c r="B257" s="374">
        <f>PRRAS!C268</f>
        <v>256</v>
      </c>
      <c r="C257" s="374">
        <f>PRRAS!D268</f>
        <v>0</v>
      </c>
      <c r="D257" s="374">
        <f>PRRAS!E268</f>
        <v>0</v>
      </c>
      <c r="E257" s="374"/>
      <c r="F257" s="374"/>
      <c r="G257" s="375">
        <f t="shared" si="6"/>
        <v>0</v>
      </c>
      <c r="H257" s="375">
        <f t="shared" si="7"/>
        <v>0</v>
      </c>
      <c r="I257" s="376">
        <v>0</v>
      </c>
    </row>
    <row r="258" spans="1:9" x14ac:dyDescent="0.25">
      <c r="A258" s="373">
        <v>151</v>
      </c>
      <c r="B258" s="374">
        <f>PRRAS!C269</f>
        <v>257</v>
      </c>
      <c r="C258" s="374">
        <f>PRRAS!D269</f>
        <v>0</v>
      </c>
      <c r="D258" s="374">
        <f>PRRAS!E269</f>
        <v>0</v>
      </c>
      <c r="E258" s="374"/>
      <c r="F258" s="374"/>
      <c r="G258" s="375">
        <f t="shared" si="6"/>
        <v>0</v>
      </c>
      <c r="H258" s="375">
        <f t="shared" si="7"/>
        <v>0</v>
      </c>
      <c r="I258" s="376">
        <v>0</v>
      </c>
    </row>
    <row r="259" spans="1:9" x14ac:dyDescent="0.25">
      <c r="A259" s="373">
        <v>151</v>
      </c>
      <c r="B259" s="374">
        <f>PRRAS!C270</f>
        <v>258</v>
      </c>
      <c r="C259" s="374">
        <f>PRRAS!D270</f>
        <v>0</v>
      </c>
      <c r="D259" s="374">
        <f>PRRAS!E270</f>
        <v>0</v>
      </c>
      <c r="E259" s="374"/>
      <c r="F259" s="374"/>
      <c r="G259" s="375">
        <f t="shared" si="6"/>
        <v>0</v>
      </c>
      <c r="H259" s="375">
        <f t="shared" si="7"/>
        <v>0</v>
      </c>
      <c r="I259" s="376">
        <v>0</v>
      </c>
    </row>
    <row r="260" spans="1:9" x14ac:dyDescent="0.25">
      <c r="A260" s="373">
        <v>151</v>
      </c>
      <c r="B260" s="374">
        <f>PRRAS!C271</f>
        <v>259</v>
      </c>
      <c r="C260" s="374">
        <f>PRRAS!D271</f>
        <v>0</v>
      </c>
      <c r="D260" s="374">
        <f>PRRAS!E271</f>
        <v>0</v>
      </c>
      <c r="E260" s="374"/>
      <c r="F260" s="374"/>
      <c r="G260" s="375">
        <f t="shared" ref="G260:G323" si="8">(B260/1000)*(C260*1+D260*2)</f>
        <v>0</v>
      </c>
      <c r="H260" s="375">
        <f t="shared" ref="H260:H323" si="9">ABS(C260-ROUND(C260,0))+ABS(D260-ROUND(D260,0))</f>
        <v>0</v>
      </c>
      <c r="I260" s="376">
        <v>0</v>
      </c>
    </row>
    <row r="261" spans="1:9" x14ac:dyDescent="0.25">
      <c r="A261" s="373">
        <v>151</v>
      </c>
      <c r="B261" s="374">
        <f>PRRAS!C272</f>
        <v>260</v>
      </c>
      <c r="C261" s="374">
        <f>PRRAS!D272</f>
        <v>0</v>
      </c>
      <c r="D261" s="374">
        <f>PRRAS!E272</f>
        <v>0</v>
      </c>
      <c r="E261" s="374"/>
      <c r="F261" s="374"/>
      <c r="G261" s="375">
        <f t="shared" si="8"/>
        <v>0</v>
      </c>
      <c r="H261" s="375">
        <f t="shared" si="9"/>
        <v>0</v>
      </c>
      <c r="I261" s="376">
        <v>0</v>
      </c>
    </row>
    <row r="262" spans="1:9" x14ac:dyDescent="0.25">
      <c r="A262" s="373">
        <v>151</v>
      </c>
      <c r="B262" s="374">
        <f>PRRAS!C273</f>
        <v>261</v>
      </c>
      <c r="C262" s="374">
        <f>PRRAS!D273</f>
        <v>0</v>
      </c>
      <c r="D262" s="374">
        <f>PRRAS!E273</f>
        <v>0</v>
      </c>
      <c r="E262" s="374"/>
      <c r="F262" s="374"/>
      <c r="G262" s="375">
        <f t="shared" si="8"/>
        <v>0</v>
      </c>
      <c r="H262" s="375">
        <f t="shared" si="9"/>
        <v>0</v>
      </c>
      <c r="I262" s="376">
        <v>0</v>
      </c>
    </row>
    <row r="263" spans="1:9" x14ac:dyDescent="0.25">
      <c r="A263" s="373">
        <v>151</v>
      </c>
      <c r="B263" s="374">
        <f>PRRAS!C274</f>
        <v>262</v>
      </c>
      <c r="C263" s="374">
        <f>PRRAS!D274</f>
        <v>0</v>
      </c>
      <c r="D263" s="374">
        <f>PRRAS!E274</f>
        <v>0</v>
      </c>
      <c r="E263" s="374"/>
      <c r="F263" s="374"/>
      <c r="G263" s="375">
        <f t="shared" si="8"/>
        <v>0</v>
      </c>
      <c r="H263" s="375">
        <f t="shared" si="9"/>
        <v>0</v>
      </c>
      <c r="I263" s="376">
        <v>0</v>
      </c>
    </row>
    <row r="264" spans="1:9" x14ac:dyDescent="0.25">
      <c r="A264" s="373">
        <v>151</v>
      </c>
      <c r="B264" s="374">
        <f>PRRAS!C275</f>
        <v>263</v>
      </c>
      <c r="C264" s="374">
        <f>PRRAS!D275</f>
        <v>0</v>
      </c>
      <c r="D264" s="374">
        <f>PRRAS!E275</f>
        <v>0</v>
      </c>
      <c r="E264" s="374"/>
      <c r="F264" s="374"/>
      <c r="G264" s="375">
        <f t="shared" si="8"/>
        <v>0</v>
      </c>
      <c r="H264" s="375">
        <f t="shared" si="9"/>
        <v>0</v>
      </c>
      <c r="I264" s="376">
        <v>0</v>
      </c>
    </row>
    <row r="265" spans="1:9" x14ac:dyDescent="0.25">
      <c r="A265" s="373">
        <v>151</v>
      </c>
      <c r="B265" s="374">
        <f>PRRAS!C276</f>
        <v>264</v>
      </c>
      <c r="C265" s="374">
        <f>PRRAS!D276</f>
        <v>0</v>
      </c>
      <c r="D265" s="374">
        <f>PRRAS!E276</f>
        <v>0</v>
      </c>
      <c r="E265" s="374"/>
      <c r="F265" s="374"/>
      <c r="G265" s="375">
        <f t="shared" si="8"/>
        <v>0</v>
      </c>
      <c r="H265" s="375">
        <f t="shared" si="9"/>
        <v>0</v>
      </c>
      <c r="I265" s="376">
        <v>0</v>
      </c>
    </row>
    <row r="266" spans="1:9" x14ac:dyDescent="0.25">
      <c r="A266" s="373">
        <v>151</v>
      </c>
      <c r="B266" s="374">
        <f>PRRAS!C277</f>
        <v>265</v>
      </c>
      <c r="C266" s="374">
        <f>PRRAS!D277</f>
        <v>0</v>
      </c>
      <c r="D266" s="374">
        <f>PRRAS!E277</f>
        <v>0</v>
      </c>
      <c r="E266" s="374"/>
      <c r="F266" s="374"/>
      <c r="G266" s="375">
        <f t="shared" si="8"/>
        <v>0</v>
      </c>
      <c r="H266" s="375">
        <f t="shared" si="9"/>
        <v>0</v>
      </c>
      <c r="I266" s="376">
        <v>0</v>
      </c>
    </row>
    <row r="267" spans="1:9" x14ac:dyDescent="0.25">
      <c r="A267" s="373">
        <v>151</v>
      </c>
      <c r="B267" s="374">
        <f>PRRAS!C278</f>
        <v>266</v>
      </c>
      <c r="C267" s="374">
        <f>PRRAS!D278</f>
        <v>0</v>
      </c>
      <c r="D267" s="374">
        <f>PRRAS!E278</f>
        <v>0</v>
      </c>
      <c r="E267" s="374"/>
      <c r="F267" s="374"/>
      <c r="G267" s="375">
        <f t="shared" si="8"/>
        <v>0</v>
      </c>
      <c r="H267" s="375">
        <f t="shared" si="9"/>
        <v>0</v>
      </c>
      <c r="I267" s="376">
        <v>0</v>
      </c>
    </row>
    <row r="268" spans="1:9" x14ac:dyDescent="0.25">
      <c r="A268" s="373">
        <v>151</v>
      </c>
      <c r="B268" s="374">
        <f>PRRAS!C279</f>
        <v>267</v>
      </c>
      <c r="C268" s="374">
        <f>PRRAS!D279</f>
        <v>0</v>
      </c>
      <c r="D268" s="374">
        <f>PRRAS!E279</f>
        <v>0</v>
      </c>
      <c r="E268" s="374"/>
      <c r="F268" s="374"/>
      <c r="G268" s="375">
        <f t="shared" si="8"/>
        <v>0</v>
      </c>
      <c r="H268" s="375">
        <f t="shared" si="9"/>
        <v>0</v>
      </c>
      <c r="I268" s="376">
        <v>0</v>
      </c>
    </row>
    <row r="269" spans="1:9" x14ac:dyDescent="0.25">
      <c r="A269" s="373">
        <v>151</v>
      </c>
      <c r="B269" s="374">
        <f>PRRAS!C280</f>
        <v>268</v>
      </c>
      <c r="C269" s="374">
        <f>PRRAS!D280</f>
        <v>0</v>
      </c>
      <c r="D269" s="374">
        <f>PRRAS!E280</f>
        <v>0</v>
      </c>
      <c r="E269" s="374"/>
      <c r="F269" s="374"/>
      <c r="G269" s="375">
        <f t="shared" si="8"/>
        <v>0</v>
      </c>
      <c r="H269" s="375">
        <f t="shared" si="9"/>
        <v>0</v>
      </c>
      <c r="I269" s="376">
        <v>0</v>
      </c>
    </row>
    <row r="270" spans="1:9" x14ac:dyDescent="0.25">
      <c r="A270" s="373">
        <v>151</v>
      </c>
      <c r="B270" s="374">
        <f>PRRAS!C281</f>
        <v>269</v>
      </c>
      <c r="C270" s="374">
        <f>PRRAS!D281</f>
        <v>0</v>
      </c>
      <c r="D270" s="374">
        <f>PRRAS!E281</f>
        <v>0</v>
      </c>
      <c r="E270" s="374"/>
      <c r="F270" s="374"/>
      <c r="G270" s="375">
        <f t="shared" si="8"/>
        <v>0</v>
      </c>
      <c r="H270" s="375">
        <f t="shared" si="9"/>
        <v>0</v>
      </c>
      <c r="I270" s="376">
        <v>0</v>
      </c>
    </row>
    <row r="271" spans="1:9" x14ac:dyDescent="0.25">
      <c r="A271" s="373">
        <v>151</v>
      </c>
      <c r="B271" s="374">
        <f>PRRAS!C282</f>
        <v>270</v>
      </c>
      <c r="C271" s="374">
        <f>PRRAS!D282</f>
        <v>0</v>
      </c>
      <c r="D271" s="374">
        <f>PRRAS!E282</f>
        <v>0</v>
      </c>
      <c r="E271" s="374"/>
      <c r="F271" s="374"/>
      <c r="G271" s="375">
        <f t="shared" si="8"/>
        <v>0</v>
      </c>
      <c r="H271" s="375">
        <f t="shared" si="9"/>
        <v>0</v>
      </c>
      <c r="I271" s="376">
        <v>0</v>
      </c>
    </row>
    <row r="272" spans="1:9" x14ac:dyDescent="0.25">
      <c r="A272" s="373">
        <v>151</v>
      </c>
      <c r="B272" s="374">
        <f>PRRAS!C283</f>
        <v>271</v>
      </c>
      <c r="C272" s="374">
        <f>PRRAS!D283</f>
        <v>0</v>
      </c>
      <c r="D272" s="374">
        <f>PRRAS!E283</f>
        <v>0</v>
      </c>
      <c r="E272" s="374"/>
      <c r="F272" s="374"/>
      <c r="G272" s="375">
        <f t="shared" si="8"/>
        <v>0</v>
      </c>
      <c r="H272" s="375">
        <f t="shared" si="9"/>
        <v>0</v>
      </c>
      <c r="I272" s="376">
        <v>0</v>
      </c>
    </row>
    <row r="273" spans="1:9" x14ac:dyDescent="0.25">
      <c r="A273" s="373">
        <v>151</v>
      </c>
      <c r="B273" s="374">
        <f>PRRAS!C284</f>
        <v>272</v>
      </c>
      <c r="C273" s="374">
        <f>PRRAS!D284</f>
        <v>0</v>
      </c>
      <c r="D273" s="374">
        <f>PRRAS!E284</f>
        <v>0</v>
      </c>
      <c r="E273" s="374"/>
      <c r="F273" s="374"/>
      <c r="G273" s="375">
        <f t="shared" si="8"/>
        <v>0</v>
      </c>
      <c r="H273" s="375">
        <f t="shared" si="9"/>
        <v>0</v>
      </c>
      <c r="I273" s="376">
        <v>0</v>
      </c>
    </row>
    <row r="274" spans="1:9" x14ac:dyDescent="0.25">
      <c r="A274" s="373">
        <v>151</v>
      </c>
      <c r="B274" s="374">
        <f>PRRAS!C285</f>
        <v>273</v>
      </c>
      <c r="C274" s="374">
        <f>PRRAS!D285</f>
        <v>0</v>
      </c>
      <c r="D274" s="374">
        <f>PRRAS!E285</f>
        <v>0</v>
      </c>
      <c r="E274" s="374"/>
      <c r="F274" s="374"/>
      <c r="G274" s="375">
        <f t="shared" si="8"/>
        <v>0</v>
      </c>
      <c r="H274" s="375">
        <f t="shared" si="9"/>
        <v>0</v>
      </c>
      <c r="I274" s="376">
        <v>0</v>
      </c>
    </row>
    <row r="275" spans="1:9" x14ac:dyDescent="0.25">
      <c r="A275" s="373">
        <v>151</v>
      </c>
      <c r="B275" s="374">
        <f>PRRAS!C286</f>
        <v>274</v>
      </c>
      <c r="C275" s="374">
        <f>PRRAS!D286</f>
        <v>0</v>
      </c>
      <c r="D275" s="374">
        <f>PRRAS!E286</f>
        <v>0</v>
      </c>
      <c r="E275" s="374"/>
      <c r="F275" s="374"/>
      <c r="G275" s="375">
        <f t="shared" si="8"/>
        <v>0</v>
      </c>
      <c r="H275" s="375">
        <f t="shared" si="9"/>
        <v>0</v>
      </c>
      <c r="I275" s="376">
        <v>0</v>
      </c>
    </row>
    <row r="276" spans="1:9" x14ac:dyDescent="0.25">
      <c r="A276" s="373">
        <v>151</v>
      </c>
      <c r="B276" s="374">
        <f>PRRAS!C287</f>
        <v>275</v>
      </c>
      <c r="C276" s="374">
        <f>PRRAS!D287</f>
        <v>0</v>
      </c>
      <c r="D276" s="374">
        <f>PRRAS!E287</f>
        <v>0</v>
      </c>
      <c r="E276" s="374"/>
      <c r="F276" s="374"/>
      <c r="G276" s="375">
        <f t="shared" si="8"/>
        <v>0</v>
      </c>
      <c r="H276" s="375">
        <f t="shared" si="9"/>
        <v>0</v>
      </c>
      <c r="I276" s="376">
        <v>0</v>
      </c>
    </row>
    <row r="277" spans="1:9" x14ac:dyDescent="0.25">
      <c r="A277" s="373">
        <v>151</v>
      </c>
      <c r="B277" s="374">
        <f>PRRAS!C288</f>
        <v>276</v>
      </c>
      <c r="C277" s="374">
        <f>PRRAS!D288</f>
        <v>0</v>
      </c>
      <c r="D277" s="374">
        <f>PRRAS!E288</f>
        <v>0</v>
      </c>
      <c r="E277" s="374"/>
      <c r="F277" s="374"/>
      <c r="G277" s="375">
        <f t="shared" si="8"/>
        <v>0</v>
      </c>
      <c r="H277" s="375">
        <f t="shared" si="9"/>
        <v>0</v>
      </c>
      <c r="I277" s="376">
        <v>0</v>
      </c>
    </row>
    <row r="278" spans="1:9" x14ac:dyDescent="0.25">
      <c r="A278" s="373">
        <v>151</v>
      </c>
      <c r="B278" s="374">
        <f>PRRAS!C289</f>
        <v>277</v>
      </c>
      <c r="C278" s="374">
        <f>PRRAS!D289</f>
        <v>0</v>
      </c>
      <c r="D278" s="374">
        <f>PRRAS!E289</f>
        <v>0</v>
      </c>
      <c r="E278" s="374"/>
      <c r="F278" s="374"/>
      <c r="G278" s="375">
        <f t="shared" si="8"/>
        <v>0</v>
      </c>
      <c r="H278" s="375">
        <f t="shared" si="9"/>
        <v>0</v>
      </c>
      <c r="I278" s="376">
        <v>0</v>
      </c>
    </row>
    <row r="279" spans="1:9" x14ac:dyDescent="0.25">
      <c r="A279" s="373">
        <v>151</v>
      </c>
      <c r="B279" s="374">
        <f>PRRAS!C290</f>
        <v>278</v>
      </c>
      <c r="C279" s="374">
        <f>PRRAS!D290</f>
        <v>0</v>
      </c>
      <c r="D279" s="374">
        <f>PRRAS!E290</f>
        <v>0</v>
      </c>
      <c r="E279" s="374"/>
      <c r="F279" s="374"/>
      <c r="G279" s="375">
        <f t="shared" si="8"/>
        <v>0</v>
      </c>
      <c r="H279" s="375">
        <f t="shared" si="9"/>
        <v>0</v>
      </c>
      <c r="I279" s="376">
        <v>0</v>
      </c>
    </row>
    <row r="280" spans="1:9" x14ac:dyDescent="0.25">
      <c r="A280" s="373">
        <v>151</v>
      </c>
      <c r="B280" s="374">
        <f>PRRAS!C291</f>
        <v>279</v>
      </c>
      <c r="C280" s="374">
        <f>PRRAS!D291</f>
        <v>0</v>
      </c>
      <c r="D280" s="374">
        <f>PRRAS!E291</f>
        <v>0</v>
      </c>
      <c r="E280" s="374"/>
      <c r="F280" s="374"/>
      <c r="G280" s="375">
        <f t="shared" si="8"/>
        <v>0</v>
      </c>
      <c r="H280" s="375">
        <f t="shared" si="9"/>
        <v>0</v>
      </c>
      <c r="I280" s="376">
        <v>0</v>
      </c>
    </row>
    <row r="281" spans="1:9" x14ac:dyDescent="0.25">
      <c r="A281" s="373">
        <v>151</v>
      </c>
      <c r="B281" s="374">
        <f>PRRAS!C292</f>
        <v>280</v>
      </c>
      <c r="C281" s="374">
        <f>PRRAS!D292</f>
        <v>0</v>
      </c>
      <c r="D281" s="374">
        <f>PRRAS!E292</f>
        <v>0</v>
      </c>
      <c r="E281" s="374"/>
      <c r="F281" s="374"/>
      <c r="G281" s="375">
        <f t="shared" si="8"/>
        <v>0</v>
      </c>
      <c r="H281" s="375">
        <f t="shared" si="9"/>
        <v>0</v>
      </c>
      <c r="I281" s="376">
        <v>0</v>
      </c>
    </row>
    <row r="282" spans="1:9" x14ac:dyDescent="0.25">
      <c r="A282" s="373">
        <v>151</v>
      </c>
      <c r="B282" s="374">
        <f>PRRAS!C293</f>
        <v>281</v>
      </c>
      <c r="C282" s="374">
        <f>PRRAS!D293</f>
        <v>0</v>
      </c>
      <c r="D282" s="374">
        <f>PRRAS!E293</f>
        <v>0</v>
      </c>
      <c r="E282" s="374"/>
      <c r="F282" s="374"/>
      <c r="G282" s="375">
        <f t="shared" si="8"/>
        <v>0</v>
      </c>
      <c r="H282" s="375">
        <f t="shared" si="9"/>
        <v>0</v>
      </c>
      <c r="I282" s="376">
        <v>0</v>
      </c>
    </row>
    <row r="283" spans="1:9" x14ac:dyDescent="0.25">
      <c r="A283" s="373">
        <v>151</v>
      </c>
      <c r="B283" s="374">
        <f>PRRAS!C294</f>
        <v>282</v>
      </c>
      <c r="C283" s="374">
        <f>PRRAS!D294</f>
        <v>0</v>
      </c>
      <c r="D283" s="374">
        <f>PRRAS!E294</f>
        <v>0</v>
      </c>
      <c r="E283" s="374"/>
      <c r="F283" s="374"/>
      <c r="G283" s="375">
        <f t="shared" si="8"/>
        <v>0</v>
      </c>
      <c r="H283" s="375">
        <f t="shared" si="9"/>
        <v>0</v>
      </c>
      <c r="I283" s="376">
        <v>0</v>
      </c>
    </row>
    <row r="284" spans="1:9" x14ac:dyDescent="0.25">
      <c r="A284" s="373">
        <v>151</v>
      </c>
      <c r="B284" s="374">
        <f>PRRAS!C295</f>
        <v>283</v>
      </c>
      <c r="C284" s="374">
        <f>PRRAS!D295</f>
        <v>0</v>
      </c>
      <c r="D284" s="374">
        <f>PRRAS!E295</f>
        <v>0</v>
      </c>
      <c r="E284" s="374"/>
      <c r="F284" s="374"/>
      <c r="G284" s="375">
        <f t="shared" si="8"/>
        <v>0</v>
      </c>
      <c r="H284" s="375">
        <f t="shared" si="9"/>
        <v>0</v>
      </c>
      <c r="I284" s="376">
        <v>0</v>
      </c>
    </row>
    <row r="285" spans="1:9" x14ac:dyDescent="0.25">
      <c r="A285" s="373">
        <v>151</v>
      </c>
      <c r="B285" s="374">
        <f>PRRAS!C296</f>
        <v>284</v>
      </c>
      <c r="C285" s="374">
        <f>PRRAS!D296</f>
        <v>0</v>
      </c>
      <c r="D285" s="374">
        <f>PRRAS!E296</f>
        <v>0</v>
      </c>
      <c r="E285" s="374"/>
      <c r="F285" s="374"/>
      <c r="G285" s="375">
        <f t="shared" si="8"/>
        <v>0</v>
      </c>
      <c r="H285" s="375">
        <f t="shared" si="9"/>
        <v>0</v>
      </c>
      <c r="I285" s="376">
        <v>0</v>
      </c>
    </row>
    <row r="286" spans="1:9" x14ac:dyDescent="0.25">
      <c r="A286" s="373">
        <v>151</v>
      </c>
      <c r="B286" s="374">
        <f>PRRAS!C297</f>
        <v>285</v>
      </c>
      <c r="C286" s="374">
        <f>PRRAS!D297</f>
        <v>0</v>
      </c>
      <c r="D286" s="374">
        <f>PRRAS!E297</f>
        <v>0</v>
      </c>
      <c r="E286" s="374"/>
      <c r="F286" s="374"/>
      <c r="G286" s="375">
        <f t="shared" si="8"/>
        <v>0</v>
      </c>
      <c r="H286" s="375">
        <f t="shared" si="9"/>
        <v>0</v>
      </c>
      <c r="I286" s="376">
        <v>0</v>
      </c>
    </row>
    <row r="287" spans="1:9" x14ac:dyDescent="0.25">
      <c r="A287" s="373">
        <v>151</v>
      </c>
      <c r="B287" s="374">
        <f>PRRAS!C298</f>
        <v>286</v>
      </c>
      <c r="C287" s="374">
        <f>PRRAS!D298</f>
        <v>0</v>
      </c>
      <c r="D287" s="374">
        <f>PRRAS!E298</f>
        <v>0</v>
      </c>
      <c r="E287" s="374"/>
      <c r="F287" s="374"/>
      <c r="G287" s="375">
        <f t="shared" si="8"/>
        <v>0</v>
      </c>
      <c r="H287" s="375">
        <f t="shared" si="9"/>
        <v>0</v>
      </c>
      <c r="I287" s="376">
        <v>0</v>
      </c>
    </row>
    <row r="288" spans="1:9" x14ac:dyDescent="0.25">
      <c r="A288" s="373">
        <v>151</v>
      </c>
      <c r="B288" s="374">
        <f>PRRAS!C299</f>
        <v>287</v>
      </c>
      <c r="C288" s="374">
        <f>PRRAS!D299</f>
        <v>0</v>
      </c>
      <c r="D288" s="374">
        <f>PRRAS!E299</f>
        <v>0</v>
      </c>
      <c r="E288" s="374"/>
      <c r="F288" s="374"/>
      <c r="G288" s="375">
        <f t="shared" si="8"/>
        <v>0</v>
      </c>
      <c r="H288" s="375">
        <f t="shared" si="9"/>
        <v>0</v>
      </c>
      <c r="I288" s="376">
        <v>0</v>
      </c>
    </row>
    <row r="289" spans="1:9" x14ac:dyDescent="0.25">
      <c r="A289" s="373">
        <v>151</v>
      </c>
      <c r="B289" s="374">
        <f>PRRAS!C300</f>
        <v>288</v>
      </c>
      <c r="C289" s="374">
        <f>PRRAS!D300</f>
        <v>0</v>
      </c>
      <c r="D289" s="374">
        <f>PRRAS!E300</f>
        <v>0</v>
      </c>
      <c r="E289" s="374"/>
      <c r="F289" s="374"/>
      <c r="G289" s="375">
        <f t="shared" si="8"/>
        <v>0</v>
      </c>
      <c r="H289" s="375">
        <f t="shared" si="9"/>
        <v>0</v>
      </c>
      <c r="I289" s="376">
        <v>0</v>
      </c>
    </row>
    <row r="290" spans="1:9" x14ac:dyDescent="0.25">
      <c r="A290" s="373">
        <v>151</v>
      </c>
      <c r="B290" s="374">
        <f>PRRAS!C301</f>
        <v>289</v>
      </c>
      <c r="C290" s="374">
        <f>PRRAS!D301</f>
        <v>0</v>
      </c>
      <c r="D290" s="374">
        <f>PRRAS!E301</f>
        <v>0</v>
      </c>
      <c r="E290" s="374"/>
      <c r="F290" s="374"/>
      <c r="G290" s="375">
        <f t="shared" si="8"/>
        <v>0</v>
      </c>
      <c r="H290" s="375">
        <f t="shared" si="9"/>
        <v>0</v>
      </c>
      <c r="I290" s="376">
        <v>0</v>
      </c>
    </row>
    <row r="291" spans="1:9" x14ac:dyDescent="0.25">
      <c r="A291" s="373">
        <v>151</v>
      </c>
      <c r="B291" s="374">
        <f>PRRAS!C302</f>
        <v>290</v>
      </c>
      <c r="C291" s="374">
        <f>PRRAS!D302</f>
        <v>0</v>
      </c>
      <c r="D291" s="374">
        <f>PRRAS!E302</f>
        <v>0</v>
      </c>
      <c r="E291" s="374"/>
      <c r="F291" s="374"/>
      <c r="G291" s="375">
        <f t="shared" si="8"/>
        <v>0</v>
      </c>
      <c r="H291" s="375">
        <f t="shared" si="9"/>
        <v>0</v>
      </c>
      <c r="I291" s="376">
        <v>0</v>
      </c>
    </row>
    <row r="292" spans="1:9" x14ac:dyDescent="0.25">
      <c r="A292" s="373">
        <v>151</v>
      </c>
      <c r="B292" s="374">
        <f>PRRAS!C303</f>
        <v>291</v>
      </c>
      <c r="C292" s="374">
        <f>PRRAS!D303</f>
        <v>0</v>
      </c>
      <c r="D292" s="374">
        <f>PRRAS!E303</f>
        <v>0</v>
      </c>
      <c r="E292" s="374"/>
      <c r="F292" s="374"/>
      <c r="G292" s="375">
        <f t="shared" si="8"/>
        <v>0</v>
      </c>
      <c r="H292" s="375">
        <f t="shared" si="9"/>
        <v>0</v>
      </c>
      <c r="I292" s="376">
        <v>0</v>
      </c>
    </row>
    <row r="293" spans="1:9" x14ac:dyDescent="0.25">
      <c r="A293" s="373">
        <v>151</v>
      </c>
      <c r="B293" s="374">
        <f>PRRAS!C304</f>
        <v>292</v>
      </c>
      <c r="C293" s="374">
        <f>PRRAS!D304</f>
        <v>0</v>
      </c>
      <c r="D293" s="374">
        <f>PRRAS!E304</f>
        <v>0</v>
      </c>
      <c r="E293" s="374"/>
      <c r="F293" s="374"/>
      <c r="G293" s="375">
        <f t="shared" si="8"/>
        <v>0</v>
      </c>
      <c r="H293" s="375">
        <f t="shared" si="9"/>
        <v>0</v>
      </c>
      <c r="I293" s="376">
        <v>0</v>
      </c>
    </row>
    <row r="294" spans="1:9" x14ac:dyDescent="0.25">
      <c r="A294" s="373">
        <v>151</v>
      </c>
      <c r="B294" s="374">
        <f>PRRAS!C305</f>
        <v>293</v>
      </c>
      <c r="C294" s="374">
        <f>PRRAS!D305</f>
        <v>0</v>
      </c>
      <c r="D294" s="374">
        <f>PRRAS!E305</f>
        <v>0</v>
      </c>
      <c r="E294" s="374"/>
      <c r="F294" s="374"/>
      <c r="G294" s="375">
        <f t="shared" si="8"/>
        <v>0</v>
      </c>
      <c r="H294" s="375">
        <f t="shared" si="9"/>
        <v>0</v>
      </c>
      <c r="I294" s="376">
        <v>0</v>
      </c>
    </row>
    <row r="295" spans="1:9" x14ac:dyDescent="0.25">
      <c r="A295" s="373">
        <v>151</v>
      </c>
      <c r="B295" s="374">
        <f>PRRAS!C306</f>
        <v>294</v>
      </c>
      <c r="C295" s="374">
        <f>PRRAS!D306</f>
        <v>0</v>
      </c>
      <c r="D295" s="374">
        <f>PRRAS!E306</f>
        <v>0</v>
      </c>
      <c r="E295" s="374"/>
      <c r="F295" s="374"/>
      <c r="G295" s="375">
        <f t="shared" si="8"/>
        <v>0</v>
      </c>
      <c r="H295" s="375">
        <f t="shared" si="9"/>
        <v>0</v>
      </c>
      <c r="I295" s="376">
        <v>0</v>
      </c>
    </row>
    <row r="296" spans="1:9" x14ac:dyDescent="0.25">
      <c r="A296" s="373">
        <v>151</v>
      </c>
      <c r="B296" s="374">
        <f>PRRAS!C307</f>
        <v>295</v>
      </c>
      <c r="C296" s="374">
        <f>PRRAS!D307</f>
        <v>0</v>
      </c>
      <c r="D296" s="374">
        <f>PRRAS!E307</f>
        <v>0</v>
      </c>
      <c r="E296" s="374"/>
      <c r="F296" s="374"/>
      <c r="G296" s="375">
        <f t="shared" si="8"/>
        <v>0</v>
      </c>
      <c r="H296" s="375">
        <f t="shared" si="9"/>
        <v>0</v>
      </c>
      <c r="I296" s="376">
        <v>0</v>
      </c>
    </row>
    <row r="297" spans="1:9" x14ac:dyDescent="0.25">
      <c r="A297" s="373">
        <v>151</v>
      </c>
      <c r="B297" s="374">
        <f>PRRAS!C308</f>
        <v>296</v>
      </c>
      <c r="C297" s="374">
        <f>PRRAS!D308</f>
        <v>0</v>
      </c>
      <c r="D297" s="374">
        <f>PRRAS!E308</f>
        <v>0</v>
      </c>
      <c r="E297" s="374"/>
      <c r="F297" s="374"/>
      <c r="G297" s="375">
        <f t="shared" si="8"/>
        <v>0</v>
      </c>
      <c r="H297" s="375">
        <f t="shared" si="9"/>
        <v>0</v>
      </c>
      <c r="I297" s="376">
        <v>0</v>
      </c>
    </row>
    <row r="298" spans="1:9" x14ac:dyDescent="0.25">
      <c r="A298" s="373">
        <v>151</v>
      </c>
      <c r="B298" s="374">
        <f>PRRAS!C309</f>
        <v>297</v>
      </c>
      <c r="C298" s="374">
        <f>PRRAS!D309</f>
        <v>0</v>
      </c>
      <c r="D298" s="374">
        <f>PRRAS!E309</f>
        <v>0</v>
      </c>
      <c r="E298" s="374"/>
      <c r="F298" s="374"/>
      <c r="G298" s="375">
        <f t="shared" si="8"/>
        <v>0</v>
      </c>
      <c r="H298" s="375">
        <f t="shared" si="9"/>
        <v>0</v>
      </c>
      <c r="I298" s="376">
        <v>0</v>
      </c>
    </row>
    <row r="299" spans="1:9" x14ac:dyDescent="0.25">
      <c r="A299" s="373">
        <v>151</v>
      </c>
      <c r="B299" s="374">
        <f>PRRAS!C310</f>
        <v>298</v>
      </c>
      <c r="C299" s="374">
        <f>PRRAS!D310</f>
        <v>0</v>
      </c>
      <c r="D299" s="374">
        <f>PRRAS!E310</f>
        <v>0</v>
      </c>
      <c r="E299" s="374"/>
      <c r="F299" s="374"/>
      <c r="G299" s="375">
        <f t="shared" si="8"/>
        <v>0</v>
      </c>
      <c r="H299" s="375">
        <f t="shared" si="9"/>
        <v>0</v>
      </c>
      <c r="I299" s="376">
        <v>0</v>
      </c>
    </row>
    <row r="300" spans="1:9" x14ac:dyDescent="0.25">
      <c r="A300" s="373">
        <v>151</v>
      </c>
      <c r="B300" s="374">
        <f>PRRAS!C311</f>
        <v>299</v>
      </c>
      <c r="C300" s="374">
        <f>PRRAS!D311</f>
        <v>0</v>
      </c>
      <c r="D300" s="374">
        <f>PRRAS!E311</f>
        <v>0</v>
      </c>
      <c r="E300" s="374"/>
      <c r="F300" s="374"/>
      <c r="G300" s="375">
        <f t="shared" si="8"/>
        <v>0</v>
      </c>
      <c r="H300" s="375">
        <f t="shared" si="9"/>
        <v>0</v>
      </c>
      <c r="I300" s="376">
        <v>0</v>
      </c>
    </row>
    <row r="301" spans="1:9" x14ac:dyDescent="0.25">
      <c r="A301" s="373">
        <v>151</v>
      </c>
      <c r="B301" s="374">
        <f>PRRAS!C312</f>
        <v>300</v>
      </c>
      <c r="C301" s="374">
        <f>PRRAS!D312</f>
        <v>0</v>
      </c>
      <c r="D301" s="374">
        <f>PRRAS!E312</f>
        <v>0</v>
      </c>
      <c r="E301" s="374"/>
      <c r="F301" s="374"/>
      <c r="G301" s="375">
        <f t="shared" si="8"/>
        <v>0</v>
      </c>
      <c r="H301" s="375">
        <f t="shared" si="9"/>
        <v>0</v>
      </c>
      <c r="I301" s="376">
        <v>0</v>
      </c>
    </row>
    <row r="302" spans="1:9" x14ac:dyDescent="0.25">
      <c r="A302" s="373">
        <v>151</v>
      </c>
      <c r="B302" s="374">
        <f>PRRAS!C313</f>
        <v>301</v>
      </c>
      <c r="C302" s="374">
        <f>PRRAS!D313</f>
        <v>0</v>
      </c>
      <c r="D302" s="374">
        <f>PRRAS!E313</f>
        <v>0</v>
      </c>
      <c r="E302" s="374"/>
      <c r="F302" s="374"/>
      <c r="G302" s="375">
        <f t="shared" si="8"/>
        <v>0</v>
      </c>
      <c r="H302" s="375">
        <f t="shared" si="9"/>
        <v>0</v>
      </c>
      <c r="I302" s="376">
        <v>0</v>
      </c>
    </row>
    <row r="303" spans="1:9" x14ac:dyDescent="0.25">
      <c r="A303" s="373">
        <v>151</v>
      </c>
      <c r="B303" s="374">
        <f>PRRAS!C314</f>
        <v>302</v>
      </c>
      <c r="C303" s="374">
        <f>PRRAS!D314</f>
        <v>0</v>
      </c>
      <c r="D303" s="374">
        <f>PRRAS!E314</f>
        <v>0</v>
      </c>
      <c r="E303" s="374"/>
      <c r="F303" s="374"/>
      <c r="G303" s="375">
        <f t="shared" si="8"/>
        <v>0</v>
      </c>
      <c r="H303" s="375">
        <f t="shared" si="9"/>
        <v>0</v>
      </c>
      <c r="I303" s="376">
        <v>0</v>
      </c>
    </row>
    <row r="304" spans="1:9" x14ac:dyDescent="0.25">
      <c r="A304" s="373">
        <v>151</v>
      </c>
      <c r="B304" s="374">
        <f>PRRAS!C315</f>
        <v>303</v>
      </c>
      <c r="C304" s="374">
        <f>PRRAS!D315</f>
        <v>58235</v>
      </c>
      <c r="D304" s="374">
        <f>PRRAS!E315</f>
        <v>77031</v>
      </c>
      <c r="E304" s="374"/>
      <c r="F304" s="374"/>
      <c r="G304" s="375">
        <f t="shared" si="8"/>
        <v>64325.991000000002</v>
      </c>
      <c r="H304" s="375">
        <f t="shared" si="9"/>
        <v>0</v>
      </c>
      <c r="I304" s="376">
        <v>0</v>
      </c>
    </row>
    <row r="305" spans="1:9" x14ac:dyDescent="0.25">
      <c r="A305" s="373">
        <v>151</v>
      </c>
      <c r="B305" s="374">
        <f>PRRAS!C316</f>
        <v>304</v>
      </c>
      <c r="C305" s="374">
        <f>PRRAS!D316</f>
        <v>38700</v>
      </c>
      <c r="D305" s="374">
        <f>PRRAS!E316</f>
        <v>69413</v>
      </c>
      <c r="E305" s="374"/>
      <c r="F305" s="374"/>
      <c r="G305" s="375">
        <f t="shared" si="8"/>
        <v>53967.904000000002</v>
      </c>
      <c r="H305" s="375">
        <f t="shared" si="9"/>
        <v>0</v>
      </c>
      <c r="I305" s="376">
        <v>0</v>
      </c>
    </row>
    <row r="306" spans="1:9" x14ac:dyDescent="0.25">
      <c r="A306" s="373">
        <v>151</v>
      </c>
      <c r="B306" s="374">
        <f>PRRAS!C317</f>
        <v>305</v>
      </c>
      <c r="C306" s="374">
        <f>PRRAS!D317</f>
        <v>0</v>
      </c>
      <c r="D306" s="374">
        <f>PRRAS!E317</f>
        <v>0</v>
      </c>
      <c r="E306" s="374"/>
      <c r="F306" s="374"/>
      <c r="G306" s="375">
        <f t="shared" si="8"/>
        <v>0</v>
      </c>
      <c r="H306" s="375">
        <f t="shared" si="9"/>
        <v>0</v>
      </c>
      <c r="I306" s="376">
        <v>0</v>
      </c>
    </row>
    <row r="307" spans="1:9" x14ac:dyDescent="0.25">
      <c r="A307" s="373">
        <v>151</v>
      </c>
      <c r="B307" s="374">
        <f>PRRAS!C318</f>
        <v>306</v>
      </c>
      <c r="C307" s="374">
        <f>PRRAS!D318</f>
        <v>0</v>
      </c>
      <c r="D307" s="374">
        <f>PRRAS!E318</f>
        <v>0</v>
      </c>
      <c r="E307" s="374"/>
      <c r="F307" s="374"/>
      <c r="G307" s="375">
        <f t="shared" si="8"/>
        <v>0</v>
      </c>
      <c r="H307" s="375">
        <f t="shared" si="9"/>
        <v>0</v>
      </c>
      <c r="I307" s="376">
        <v>0</v>
      </c>
    </row>
    <row r="308" spans="1:9" x14ac:dyDescent="0.25">
      <c r="A308" s="373">
        <v>151</v>
      </c>
      <c r="B308" s="374">
        <f>PRRAS!C319</f>
        <v>307</v>
      </c>
      <c r="C308" s="374">
        <f>PRRAS!D319</f>
        <v>0</v>
      </c>
      <c r="D308" s="374">
        <f>PRRAS!E319</f>
        <v>0</v>
      </c>
      <c r="E308" s="374"/>
      <c r="F308" s="374"/>
      <c r="G308" s="375">
        <f t="shared" si="8"/>
        <v>0</v>
      </c>
      <c r="H308" s="375">
        <f t="shared" si="9"/>
        <v>0</v>
      </c>
      <c r="I308" s="376">
        <v>0</v>
      </c>
    </row>
    <row r="309" spans="1:9" x14ac:dyDescent="0.25">
      <c r="A309" s="373">
        <v>151</v>
      </c>
      <c r="B309" s="374">
        <f>PRRAS!C320</f>
        <v>308</v>
      </c>
      <c r="C309" s="374">
        <f>PRRAS!D320</f>
        <v>0</v>
      </c>
      <c r="D309" s="374">
        <f>PRRAS!E320</f>
        <v>0</v>
      </c>
      <c r="E309" s="374"/>
      <c r="F309" s="374"/>
      <c r="G309" s="375">
        <f t="shared" si="8"/>
        <v>0</v>
      </c>
      <c r="H309" s="375">
        <f t="shared" si="9"/>
        <v>0</v>
      </c>
      <c r="I309" s="376">
        <v>0</v>
      </c>
    </row>
    <row r="310" spans="1:9" x14ac:dyDescent="0.25">
      <c r="A310" s="373">
        <v>151</v>
      </c>
      <c r="B310" s="374">
        <f>PRRAS!C321</f>
        <v>309</v>
      </c>
      <c r="C310" s="374">
        <f>PRRAS!D321</f>
        <v>38700</v>
      </c>
      <c r="D310" s="374">
        <f>PRRAS!E321</f>
        <v>69413</v>
      </c>
      <c r="E310" s="374"/>
      <c r="F310" s="374"/>
      <c r="G310" s="375">
        <f t="shared" si="8"/>
        <v>54855.534</v>
      </c>
      <c r="H310" s="375">
        <f t="shared" si="9"/>
        <v>0</v>
      </c>
      <c r="I310" s="376">
        <v>0</v>
      </c>
    </row>
    <row r="311" spans="1:9" x14ac:dyDescent="0.25">
      <c r="A311" s="373">
        <v>151</v>
      </c>
      <c r="B311" s="374">
        <f>PRRAS!C322</f>
        <v>310</v>
      </c>
      <c r="C311" s="374">
        <f>PRRAS!D322</f>
        <v>0</v>
      </c>
      <c r="D311" s="374">
        <f>PRRAS!E322</f>
        <v>0</v>
      </c>
      <c r="E311" s="374"/>
      <c r="F311" s="374"/>
      <c r="G311" s="375">
        <f t="shared" si="8"/>
        <v>0</v>
      </c>
      <c r="H311" s="375">
        <f t="shared" si="9"/>
        <v>0</v>
      </c>
      <c r="I311" s="376">
        <v>0</v>
      </c>
    </row>
    <row r="312" spans="1:9" x14ac:dyDescent="0.25">
      <c r="A312" s="373">
        <v>151</v>
      </c>
      <c r="B312" s="374">
        <f>PRRAS!C323</f>
        <v>311</v>
      </c>
      <c r="C312" s="374">
        <f>PRRAS!D323</f>
        <v>0</v>
      </c>
      <c r="D312" s="374">
        <f>PRRAS!E323</f>
        <v>0</v>
      </c>
      <c r="E312" s="374"/>
      <c r="F312" s="374"/>
      <c r="G312" s="375">
        <f t="shared" si="8"/>
        <v>0</v>
      </c>
      <c r="H312" s="375">
        <f t="shared" si="9"/>
        <v>0</v>
      </c>
      <c r="I312" s="376">
        <v>0</v>
      </c>
    </row>
    <row r="313" spans="1:9" x14ac:dyDescent="0.25">
      <c r="A313" s="373">
        <v>151</v>
      </c>
      <c r="B313" s="374">
        <f>PRRAS!C324</f>
        <v>312</v>
      </c>
      <c r="C313" s="374">
        <f>PRRAS!D324</f>
        <v>0</v>
      </c>
      <c r="D313" s="374">
        <f>PRRAS!E324</f>
        <v>0</v>
      </c>
      <c r="E313" s="374"/>
      <c r="F313" s="374"/>
      <c r="G313" s="375">
        <f t="shared" si="8"/>
        <v>0</v>
      </c>
      <c r="H313" s="375">
        <f t="shared" si="9"/>
        <v>0</v>
      </c>
      <c r="I313" s="376">
        <v>0</v>
      </c>
    </row>
    <row r="314" spans="1:9" x14ac:dyDescent="0.25">
      <c r="A314" s="373">
        <v>151</v>
      </c>
      <c r="B314" s="374">
        <f>PRRAS!C325</f>
        <v>313</v>
      </c>
      <c r="C314" s="374">
        <f>PRRAS!D325</f>
        <v>0</v>
      </c>
      <c r="D314" s="374">
        <f>PRRAS!E325</f>
        <v>0</v>
      </c>
      <c r="E314" s="374"/>
      <c r="F314" s="374"/>
      <c r="G314" s="375">
        <f t="shared" si="8"/>
        <v>0</v>
      </c>
      <c r="H314" s="375">
        <f t="shared" si="9"/>
        <v>0</v>
      </c>
      <c r="I314" s="376">
        <v>0</v>
      </c>
    </row>
    <row r="315" spans="1:9" x14ac:dyDescent="0.25">
      <c r="A315" s="373">
        <v>151</v>
      </c>
      <c r="B315" s="374">
        <f>PRRAS!C326</f>
        <v>314</v>
      </c>
      <c r="C315" s="374">
        <f>PRRAS!D326</f>
        <v>0</v>
      </c>
      <c r="D315" s="374">
        <f>PRRAS!E326</f>
        <v>0</v>
      </c>
      <c r="E315" s="374"/>
      <c r="F315" s="374"/>
      <c r="G315" s="375">
        <f t="shared" si="8"/>
        <v>0</v>
      </c>
      <c r="H315" s="375">
        <f t="shared" si="9"/>
        <v>0</v>
      </c>
      <c r="I315" s="376">
        <v>0</v>
      </c>
    </row>
    <row r="316" spans="1:9" x14ac:dyDescent="0.25">
      <c r="A316" s="373">
        <v>151</v>
      </c>
      <c r="B316" s="374">
        <f>PRRAS!C327</f>
        <v>315</v>
      </c>
      <c r="C316" s="374">
        <f>PRRAS!D327</f>
        <v>38700</v>
      </c>
      <c r="D316" s="374">
        <f>PRRAS!E327</f>
        <v>69413</v>
      </c>
      <c r="E316" s="374"/>
      <c r="F316" s="374"/>
      <c r="G316" s="375">
        <f t="shared" si="8"/>
        <v>55920.69</v>
      </c>
      <c r="H316" s="375">
        <f t="shared" si="9"/>
        <v>0</v>
      </c>
      <c r="I316" s="376">
        <v>0</v>
      </c>
    </row>
    <row r="317" spans="1:9" x14ac:dyDescent="0.25">
      <c r="A317" s="373">
        <v>151</v>
      </c>
      <c r="B317" s="374">
        <f>PRRAS!C328</f>
        <v>316</v>
      </c>
      <c r="C317" s="374">
        <f>PRRAS!D328</f>
        <v>0</v>
      </c>
      <c r="D317" s="374">
        <f>PRRAS!E328</f>
        <v>0</v>
      </c>
      <c r="E317" s="374"/>
      <c r="F317" s="374"/>
      <c r="G317" s="375">
        <f t="shared" si="8"/>
        <v>0</v>
      </c>
      <c r="H317" s="375">
        <f t="shared" si="9"/>
        <v>0</v>
      </c>
      <c r="I317" s="376">
        <v>0</v>
      </c>
    </row>
    <row r="318" spans="1:9" x14ac:dyDescent="0.25">
      <c r="A318" s="373">
        <v>151</v>
      </c>
      <c r="B318" s="374">
        <f>PRRAS!C329</f>
        <v>317</v>
      </c>
      <c r="C318" s="374">
        <f>PRRAS!D329</f>
        <v>0</v>
      </c>
      <c r="D318" s="374">
        <f>PRRAS!E329</f>
        <v>0</v>
      </c>
      <c r="E318" s="374"/>
      <c r="F318" s="374"/>
      <c r="G318" s="375">
        <f t="shared" si="8"/>
        <v>0</v>
      </c>
      <c r="H318" s="375">
        <f t="shared" si="9"/>
        <v>0</v>
      </c>
      <c r="I318" s="376">
        <v>0</v>
      </c>
    </row>
    <row r="319" spans="1:9" x14ac:dyDescent="0.25">
      <c r="A319" s="373">
        <v>151</v>
      </c>
      <c r="B319" s="374">
        <f>PRRAS!C330</f>
        <v>318</v>
      </c>
      <c r="C319" s="374">
        <f>PRRAS!D330</f>
        <v>19535</v>
      </c>
      <c r="D319" s="374">
        <f>PRRAS!E330</f>
        <v>7618</v>
      </c>
      <c r="E319" s="374"/>
      <c r="F319" s="374"/>
      <c r="G319" s="375">
        <f t="shared" si="8"/>
        <v>11057.178</v>
      </c>
      <c r="H319" s="375">
        <f t="shared" si="9"/>
        <v>0</v>
      </c>
      <c r="I319" s="376">
        <v>0</v>
      </c>
    </row>
    <row r="320" spans="1:9" x14ac:dyDescent="0.25">
      <c r="A320" s="373">
        <v>151</v>
      </c>
      <c r="B320" s="374">
        <f>PRRAS!C331</f>
        <v>319</v>
      </c>
      <c r="C320" s="374">
        <f>PRRAS!D331</f>
        <v>0</v>
      </c>
      <c r="D320" s="374">
        <f>PRRAS!E331</f>
        <v>0</v>
      </c>
      <c r="E320" s="374"/>
      <c r="F320" s="374"/>
      <c r="G320" s="375">
        <f t="shared" si="8"/>
        <v>0</v>
      </c>
      <c r="H320" s="375">
        <f t="shared" si="9"/>
        <v>0</v>
      </c>
      <c r="I320" s="376">
        <v>0</v>
      </c>
    </row>
    <row r="321" spans="1:9" x14ac:dyDescent="0.25">
      <c r="A321" s="373">
        <v>151</v>
      </c>
      <c r="B321" s="374">
        <f>PRRAS!C332</f>
        <v>320</v>
      </c>
      <c r="C321" s="374">
        <f>PRRAS!D332</f>
        <v>0</v>
      </c>
      <c r="D321" s="374">
        <f>PRRAS!E332</f>
        <v>0</v>
      </c>
      <c r="E321" s="374"/>
      <c r="F321" s="374"/>
      <c r="G321" s="375">
        <f t="shared" si="8"/>
        <v>0</v>
      </c>
      <c r="H321" s="375">
        <f t="shared" si="9"/>
        <v>0</v>
      </c>
      <c r="I321" s="376">
        <v>0</v>
      </c>
    </row>
    <row r="322" spans="1:9" x14ac:dyDescent="0.25">
      <c r="A322" s="373">
        <v>151</v>
      </c>
      <c r="B322" s="374">
        <f>PRRAS!C333</f>
        <v>321</v>
      </c>
      <c r="C322" s="374">
        <f>PRRAS!D333</f>
        <v>0</v>
      </c>
      <c r="D322" s="374">
        <f>PRRAS!E333</f>
        <v>0</v>
      </c>
      <c r="E322" s="374"/>
      <c r="F322" s="374"/>
      <c r="G322" s="375">
        <f t="shared" si="8"/>
        <v>0</v>
      </c>
      <c r="H322" s="375">
        <f t="shared" si="9"/>
        <v>0</v>
      </c>
      <c r="I322" s="376">
        <v>0</v>
      </c>
    </row>
    <row r="323" spans="1:9" x14ac:dyDescent="0.25">
      <c r="A323" s="373">
        <v>151</v>
      </c>
      <c r="B323" s="374">
        <f>PRRAS!C334</f>
        <v>322</v>
      </c>
      <c r="C323" s="374">
        <f>PRRAS!D334</f>
        <v>0</v>
      </c>
      <c r="D323" s="374">
        <f>PRRAS!E334</f>
        <v>0</v>
      </c>
      <c r="E323" s="374"/>
      <c r="F323" s="374"/>
      <c r="G323" s="375">
        <f t="shared" si="8"/>
        <v>0</v>
      </c>
      <c r="H323" s="375">
        <f t="shared" si="9"/>
        <v>0</v>
      </c>
      <c r="I323" s="376">
        <v>0</v>
      </c>
    </row>
    <row r="324" spans="1:9" x14ac:dyDescent="0.25">
      <c r="A324" s="373">
        <v>151</v>
      </c>
      <c r="B324" s="374">
        <f>PRRAS!C335</f>
        <v>323</v>
      </c>
      <c r="C324" s="374">
        <f>PRRAS!D335</f>
        <v>0</v>
      </c>
      <c r="D324" s="374">
        <f>PRRAS!E335</f>
        <v>0</v>
      </c>
      <c r="E324" s="374"/>
      <c r="F324" s="374"/>
      <c r="G324" s="375">
        <f t="shared" ref="G324:G386" si="10">(B324/1000)*(C324*1+D324*2)</f>
        <v>0</v>
      </c>
      <c r="H324" s="375">
        <f t="shared" ref="H324:H386" si="11">ABS(C324-ROUND(C324,0))+ABS(D324-ROUND(D324,0))</f>
        <v>0</v>
      </c>
      <c r="I324" s="376">
        <v>0</v>
      </c>
    </row>
    <row r="325" spans="1:9" x14ac:dyDescent="0.25">
      <c r="A325" s="373">
        <v>151</v>
      </c>
      <c r="B325" s="374">
        <f>PRRAS!C336</f>
        <v>324</v>
      </c>
      <c r="C325" s="374">
        <f>PRRAS!D336</f>
        <v>19535</v>
      </c>
      <c r="D325" s="374">
        <f>PRRAS!E336</f>
        <v>7618</v>
      </c>
      <c r="E325" s="374"/>
      <c r="F325" s="374"/>
      <c r="G325" s="375">
        <f t="shared" si="10"/>
        <v>11265.804</v>
      </c>
      <c r="H325" s="375">
        <f t="shared" si="11"/>
        <v>0</v>
      </c>
      <c r="I325" s="376">
        <v>0</v>
      </c>
    </row>
    <row r="326" spans="1:9" x14ac:dyDescent="0.25">
      <c r="A326" s="373">
        <v>151</v>
      </c>
      <c r="B326" s="374">
        <f>PRRAS!C337</f>
        <v>325</v>
      </c>
      <c r="C326" s="374">
        <f>PRRAS!D337</f>
        <v>9536</v>
      </c>
      <c r="D326" s="374">
        <f>PRRAS!E337</f>
        <v>0</v>
      </c>
      <c r="E326" s="374"/>
      <c r="F326" s="374"/>
      <c r="G326" s="375">
        <f t="shared" si="10"/>
        <v>3099.2000000000003</v>
      </c>
      <c r="H326" s="375">
        <f t="shared" si="11"/>
        <v>0</v>
      </c>
      <c r="I326" s="376">
        <v>0</v>
      </c>
    </row>
    <row r="327" spans="1:9" x14ac:dyDescent="0.25">
      <c r="A327" s="373">
        <v>151</v>
      </c>
      <c r="B327" s="374">
        <f>PRRAS!C338</f>
        <v>326</v>
      </c>
      <c r="C327" s="374">
        <f>PRRAS!D338</f>
        <v>0</v>
      </c>
      <c r="D327" s="374">
        <f>PRRAS!E338</f>
        <v>0</v>
      </c>
      <c r="E327" s="374"/>
      <c r="F327" s="374"/>
      <c r="G327" s="375">
        <f t="shared" si="10"/>
        <v>0</v>
      </c>
      <c r="H327" s="375">
        <f t="shared" si="11"/>
        <v>0</v>
      </c>
      <c r="I327" s="376">
        <v>0</v>
      </c>
    </row>
    <row r="328" spans="1:9" x14ac:dyDescent="0.25">
      <c r="A328" s="373">
        <v>151</v>
      </c>
      <c r="B328" s="374">
        <f>PRRAS!C339</f>
        <v>327</v>
      </c>
      <c r="C328" s="374">
        <f>PRRAS!D339</f>
        <v>9999</v>
      </c>
      <c r="D328" s="374">
        <f>PRRAS!E339</f>
        <v>7618</v>
      </c>
      <c r="E328" s="374"/>
      <c r="F328" s="374"/>
      <c r="G328" s="375">
        <f t="shared" si="10"/>
        <v>8251.8450000000012</v>
      </c>
      <c r="H328" s="375">
        <f t="shared" si="11"/>
        <v>0</v>
      </c>
      <c r="I328" s="376">
        <v>0</v>
      </c>
    </row>
    <row r="329" spans="1:9" x14ac:dyDescent="0.25">
      <c r="A329" s="373">
        <v>151</v>
      </c>
      <c r="B329" s="374">
        <f>PRRAS!C340</f>
        <v>328</v>
      </c>
      <c r="C329" s="374">
        <f>PRRAS!D340</f>
        <v>0</v>
      </c>
      <c r="D329" s="374">
        <f>PRRAS!E340</f>
        <v>0</v>
      </c>
      <c r="E329" s="374"/>
      <c r="F329" s="374"/>
      <c r="G329" s="375">
        <f t="shared" si="10"/>
        <v>0</v>
      </c>
      <c r="H329" s="375">
        <f t="shared" si="11"/>
        <v>0</v>
      </c>
      <c r="I329" s="376">
        <v>0</v>
      </c>
    </row>
    <row r="330" spans="1:9" x14ac:dyDescent="0.25">
      <c r="A330" s="373">
        <v>151</v>
      </c>
      <c r="B330" s="374">
        <f>PRRAS!C341</f>
        <v>329</v>
      </c>
      <c r="C330" s="374">
        <f>PRRAS!D341</f>
        <v>0</v>
      </c>
      <c r="D330" s="374">
        <f>PRRAS!E341</f>
        <v>0</v>
      </c>
      <c r="E330" s="374"/>
      <c r="F330" s="374"/>
      <c r="G330" s="375">
        <f t="shared" si="10"/>
        <v>0</v>
      </c>
      <c r="H330" s="375">
        <f t="shared" si="11"/>
        <v>0</v>
      </c>
      <c r="I330" s="376">
        <v>0</v>
      </c>
    </row>
    <row r="331" spans="1:9" x14ac:dyDescent="0.25">
      <c r="A331" s="373">
        <v>151</v>
      </c>
      <c r="B331" s="374">
        <f>PRRAS!C342</f>
        <v>330</v>
      </c>
      <c r="C331" s="374">
        <f>PRRAS!D342</f>
        <v>0</v>
      </c>
      <c r="D331" s="374">
        <f>PRRAS!E342</f>
        <v>0</v>
      </c>
      <c r="E331" s="374"/>
      <c r="F331" s="374"/>
      <c r="G331" s="375">
        <f t="shared" si="10"/>
        <v>0</v>
      </c>
      <c r="H331" s="375">
        <f t="shared" si="11"/>
        <v>0</v>
      </c>
      <c r="I331" s="376">
        <v>0</v>
      </c>
    </row>
    <row r="332" spans="1:9" x14ac:dyDescent="0.25">
      <c r="A332" s="373">
        <v>151</v>
      </c>
      <c r="B332" s="374">
        <f>PRRAS!C343</f>
        <v>331</v>
      </c>
      <c r="C332" s="374">
        <f>PRRAS!D343</f>
        <v>0</v>
      </c>
      <c r="D332" s="374">
        <f>PRRAS!E343</f>
        <v>0</v>
      </c>
      <c r="E332" s="374"/>
      <c r="F332" s="374"/>
      <c r="G332" s="375">
        <f t="shared" si="10"/>
        <v>0</v>
      </c>
      <c r="H332" s="375">
        <f t="shared" si="11"/>
        <v>0</v>
      </c>
      <c r="I332" s="376">
        <v>0</v>
      </c>
    </row>
    <row r="333" spans="1:9" x14ac:dyDescent="0.25">
      <c r="A333" s="373">
        <v>151</v>
      </c>
      <c r="B333" s="374">
        <f>PRRAS!C344</f>
        <v>332</v>
      </c>
      <c r="C333" s="374">
        <f>PRRAS!D344</f>
        <v>0</v>
      </c>
      <c r="D333" s="374">
        <f>PRRAS!E344</f>
        <v>0</v>
      </c>
      <c r="E333" s="374"/>
      <c r="F333" s="374"/>
      <c r="G333" s="375">
        <f t="shared" si="10"/>
        <v>0</v>
      </c>
      <c r="H333" s="375">
        <f t="shared" si="11"/>
        <v>0</v>
      </c>
      <c r="I333" s="376">
        <v>0</v>
      </c>
    </row>
    <row r="334" spans="1:9" x14ac:dyDescent="0.25">
      <c r="A334" s="373">
        <v>151</v>
      </c>
      <c r="B334" s="374">
        <f>PRRAS!C345</f>
        <v>333</v>
      </c>
      <c r="C334" s="374">
        <f>PRRAS!D345</f>
        <v>0</v>
      </c>
      <c r="D334" s="374">
        <f>PRRAS!E345</f>
        <v>0</v>
      </c>
      <c r="E334" s="374"/>
      <c r="F334" s="374"/>
      <c r="G334" s="375">
        <f t="shared" si="10"/>
        <v>0</v>
      </c>
      <c r="H334" s="375">
        <f t="shared" si="11"/>
        <v>0</v>
      </c>
      <c r="I334" s="376">
        <v>0</v>
      </c>
    </row>
    <row r="335" spans="1:9" x14ac:dyDescent="0.25">
      <c r="A335" s="373">
        <v>151</v>
      </c>
      <c r="B335" s="374">
        <f>PRRAS!C346</f>
        <v>334</v>
      </c>
      <c r="C335" s="374">
        <f>PRRAS!D346</f>
        <v>0</v>
      </c>
      <c r="D335" s="374">
        <f>PRRAS!E346</f>
        <v>0</v>
      </c>
      <c r="E335" s="374"/>
      <c r="F335" s="374"/>
      <c r="G335" s="375">
        <f t="shared" si="10"/>
        <v>0</v>
      </c>
      <c r="H335" s="375">
        <f t="shared" si="11"/>
        <v>0</v>
      </c>
      <c r="I335" s="376">
        <v>0</v>
      </c>
    </row>
    <row r="336" spans="1:9" x14ac:dyDescent="0.25">
      <c r="A336" s="373">
        <v>151</v>
      </c>
      <c r="B336" s="374">
        <f>PRRAS!C347</f>
        <v>335</v>
      </c>
      <c r="C336" s="374">
        <f>PRRAS!D347</f>
        <v>0</v>
      </c>
      <c r="D336" s="374">
        <f>PRRAS!E347</f>
        <v>0</v>
      </c>
      <c r="E336" s="374"/>
      <c r="F336" s="374"/>
      <c r="G336" s="375">
        <f t="shared" si="10"/>
        <v>0</v>
      </c>
      <c r="H336" s="375">
        <f t="shared" si="11"/>
        <v>0</v>
      </c>
      <c r="I336" s="376">
        <v>0</v>
      </c>
    </row>
    <row r="337" spans="1:9" x14ac:dyDescent="0.25">
      <c r="A337" s="373">
        <v>151</v>
      </c>
      <c r="B337" s="374">
        <f>PRRAS!C348</f>
        <v>336</v>
      </c>
      <c r="C337" s="374">
        <f>PRRAS!D348</f>
        <v>0</v>
      </c>
      <c r="D337" s="374">
        <f>PRRAS!E348</f>
        <v>0</v>
      </c>
      <c r="E337" s="374"/>
      <c r="F337" s="374"/>
      <c r="G337" s="375">
        <f t="shared" si="10"/>
        <v>0</v>
      </c>
      <c r="H337" s="375">
        <f t="shared" si="11"/>
        <v>0</v>
      </c>
      <c r="I337" s="376">
        <v>0</v>
      </c>
    </row>
    <row r="338" spans="1:9" x14ac:dyDescent="0.25">
      <c r="A338" s="373">
        <v>151</v>
      </c>
      <c r="B338" s="374">
        <f>PRRAS!C349</f>
        <v>337</v>
      </c>
      <c r="C338" s="374">
        <f>PRRAS!D349</f>
        <v>0</v>
      </c>
      <c r="D338" s="374">
        <f>PRRAS!E349</f>
        <v>0</v>
      </c>
      <c r="E338" s="374"/>
      <c r="F338" s="374"/>
      <c r="G338" s="375">
        <f t="shared" si="10"/>
        <v>0</v>
      </c>
      <c r="H338" s="375">
        <f t="shared" si="11"/>
        <v>0</v>
      </c>
      <c r="I338" s="376">
        <v>0</v>
      </c>
    </row>
    <row r="339" spans="1:9" x14ac:dyDescent="0.25">
      <c r="A339" s="373">
        <v>151</v>
      </c>
      <c r="B339" s="374">
        <f>PRRAS!C350</f>
        <v>338</v>
      </c>
      <c r="C339" s="374">
        <f>PRRAS!D350</f>
        <v>0</v>
      </c>
      <c r="D339" s="374">
        <f>PRRAS!E350</f>
        <v>0</v>
      </c>
      <c r="E339" s="374"/>
      <c r="F339" s="374"/>
      <c r="G339" s="375">
        <f t="shared" si="10"/>
        <v>0</v>
      </c>
      <c r="H339" s="375">
        <f t="shared" si="11"/>
        <v>0</v>
      </c>
      <c r="I339" s="376">
        <v>0</v>
      </c>
    </row>
    <row r="340" spans="1:9" x14ac:dyDescent="0.25">
      <c r="A340" s="373">
        <v>151</v>
      </c>
      <c r="B340" s="374">
        <f>PRRAS!C351</f>
        <v>339</v>
      </c>
      <c r="C340" s="374">
        <f>PRRAS!D351</f>
        <v>0</v>
      </c>
      <c r="D340" s="374">
        <f>PRRAS!E351</f>
        <v>0</v>
      </c>
      <c r="E340" s="374"/>
      <c r="F340" s="374"/>
      <c r="G340" s="375">
        <f t="shared" si="10"/>
        <v>0</v>
      </c>
      <c r="H340" s="375">
        <f t="shared" si="11"/>
        <v>0</v>
      </c>
      <c r="I340" s="376">
        <v>0</v>
      </c>
    </row>
    <row r="341" spans="1:9" x14ac:dyDescent="0.25">
      <c r="A341" s="373">
        <v>151</v>
      </c>
      <c r="B341" s="374">
        <f>PRRAS!C352</f>
        <v>340</v>
      </c>
      <c r="C341" s="374">
        <f>PRRAS!D352</f>
        <v>0</v>
      </c>
      <c r="D341" s="374">
        <f>PRRAS!E352</f>
        <v>0</v>
      </c>
      <c r="E341" s="374"/>
      <c r="F341" s="374"/>
      <c r="G341" s="375">
        <f t="shared" si="10"/>
        <v>0</v>
      </c>
      <c r="H341" s="375">
        <f t="shared" si="11"/>
        <v>0</v>
      </c>
      <c r="I341" s="376">
        <v>0</v>
      </c>
    </row>
    <row r="342" spans="1:9" x14ac:dyDescent="0.25">
      <c r="A342" s="373">
        <v>151</v>
      </c>
      <c r="B342" s="374">
        <f>PRRAS!C353</f>
        <v>341</v>
      </c>
      <c r="C342" s="374">
        <f>PRRAS!D353</f>
        <v>0</v>
      </c>
      <c r="D342" s="374">
        <f>PRRAS!E353</f>
        <v>0</v>
      </c>
      <c r="E342" s="374"/>
      <c r="F342" s="374"/>
      <c r="G342" s="375">
        <f t="shared" si="10"/>
        <v>0</v>
      </c>
      <c r="H342" s="375">
        <f t="shared" si="11"/>
        <v>0</v>
      </c>
      <c r="I342" s="376">
        <v>0</v>
      </c>
    </row>
    <row r="343" spans="1:9" x14ac:dyDescent="0.25">
      <c r="A343" s="373">
        <v>151</v>
      </c>
      <c r="B343" s="374">
        <f>PRRAS!C354</f>
        <v>342</v>
      </c>
      <c r="C343" s="374">
        <f>PRRAS!D354</f>
        <v>0</v>
      </c>
      <c r="D343" s="374">
        <f>PRRAS!E354</f>
        <v>0</v>
      </c>
      <c r="E343" s="374"/>
      <c r="F343" s="374"/>
      <c r="G343" s="375">
        <f t="shared" si="10"/>
        <v>0</v>
      </c>
      <c r="H343" s="375">
        <f t="shared" si="11"/>
        <v>0</v>
      </c>
      <c r="I343" s="376">
        <v>0</v>
      </c>
    </row>
    <row r="344" spans="1:9" x14ac:dyDescent="0.25">
      <c r="A344" s="373">
        <v>151</v>
      </c>
      <c r="B344" s="374">
        <f>PRRAS!C355</f>
        <v>343</v>
      </c>
      <c r="C344" s="374">
        <f>PRRAS!D355</f>
        <v>0</v>
      </c>
      <c r="D344" s="374">
        <f>PRRAS!E355</f>
        <v>0</v>
      </c>
      <c r="E344" s="374"/>
      <c r="F344" s="374"/>
      <c r="G344" s="375">
        <f t="shared" si="10"/>
        <v>0</v>
      </c>
      <c r="H344" s="375">
        <f t="shared" si="11"/>
        <v>0</v>
      </c>
      <c r="I344" s="376">
        <v>0</v>
      </c>
    </row>
    <row r="345" spans="1:9" x14ac:dyDescent="0.25">
      <c r="A345" s="373">
        <v>151</v>
      </c>
      <c r="B345" s="374">
        <f>PRRAS!C356</f>
        <v>344</v>
      </c>
      <c r="C345" s="374">
        <f>PRRAS!D356</f>
        <v>0</v>
      </c>
      <c r="D345" s="374">
        <f>PRRAS!E356</f>
        <v>0</v>
      </c>
      <c r="E345" s="374"/>
      <c r="F345" s="374"/>
      <c r="G345" s="375">
        <f t="shared" si="10"/>
        <v>0</v>
      </c>
      <c r="H345" s="375">
        <f t="shared" si="11"/>
        <v>0</v>
      </c>
      <c r="I345" s="376">
        <v>0</v>
      </c>
    </row>
    <row r="346" spans="1:9" x14ac:dyDescent="0.25">
      <c r="A346" s="373">
        <v>151</v>
      </c>
      <c r="B346" s="374">
        <f>PRRAS!C357</f>
        <v>345</v>
      </c>
      <c r="C346" s="374">
        <f>PRRAS!D357</f>
        <v>0</v>
      </c>
      <c r="D346" s="374">
        <f>PRRAS!E357</f>
        <v>0</v>
      </c>
      <c r="E346" s="374"/>
      <c r="F346" s="374"/>
      <c r="G346" s="375">
        <f t="shared" si="10"/>
        <v>0</v>
      </c>
      <c r="H346" s="375">
        <f t="shared" si="11"/>
        <v>0</v>
      </c>
      <c r="I346" s="376">
        <v>0</v>
      </c>
    </row>
    <row r="347" spans="1:9" x14ac:dyDescent="0.25">
      <c r="A347" s="373">
        <v>151</v>
      </c>
      <c r="B347" s="374">
        <f>PRRAS!C358</f>
        <v>346</v>
      </c>
      <c r="C347" s="374">
        <f>PRRAS!D358</f>
        <v>0</v>
      </c>
      <c r="D347" s="374">
        <f>PRRAS!E358</f>
        <v>0</v>
      </c>
      <c r="E347" s="374"/>
      <c r="F347" s="374"/>
      <c r="G347" s="375">
        <f t="shared" si="10"/>
        <v>0</v>
      </c>
      <c r="H347" s="375">
        <f t="shared" si="11"/>
        <v>0</v>
      </c>
      <c r="I347" s="376">
        <v>0</v>
      </c>
    </row>
    <row r="348" spans="1:9" x14ac:dyDescent="0.25">
      <c r="A348" s="373">
        <v>151</v>
      </c>
      <c r="B348" s="374">
        <f>PRRAS!C359</f>
        <v>347</v>
      </c>
      <c r="C348" s="374">
        <f>PRRAS!D359</f>
        <v>0</v>
      </c>
      <c r="D348" s="374">
        <f>PRRAS!E359</f>
        <v>0</v>
      </c>
      <c r="E348" s="374"/>
      <c r="F348" s="374"/>
      <c r="G348" s="375">
        <f t="shared" si="10"/>
        <v>0</v>
      </c>
      <c r="H348" s="375">
        <f t="shared" si="11"/>
        <v>0</v>
      </c>
      <c r="I348" s="376">
        <v>0</v>
      </c>
    </row>
    <row r="349" spans="1:9" x14ac:dyDescent="0.25">
      <c r="A349" s="373">
        <v>151</v>
      </c>
      <c r="B349" s="374">
        <f>PRRAS!C360</f>
        <v>348</v>
      </c>
      <c r="C349" s="374">
        <f>PRRAS!D360</f>
        <v>0</v>
      </c>
      <c r="D349" s="374">
        <f>PRRAS!E360</f>
        <v>0</v>
      </c>
      <c r="E349" s="374"/>
      <c r="F349" s="374"/>
      <c r="G349" s="375">
        <f t="shared" si="10"/>
        <v>0</v>
      </c>
      <c r="H349" s="375">
        <f t="shared" si="11"/>
        <v>0</v>
      </c>
      <c r="I349" s="376">
        <v>0</v>
      </c>
    </row>
    <row r="350" spans="1:9" x14ac:dyDescent="0.25">
      <c r="A350" s="373">
        <v>151</v>
      </c>
      <c r="B350" s="374">
        <f>PRRAS!C361</f>
        <v>349</v>
      </c>
      <c r="C350" s="374">
        <f>PRRAS!D361</f>
        <v>0</v>
      </c>
      <c r="D350" s="374">
        <f>PRRAS!E361</f>
        <v>0</v>
      </c>
      <c r="E350" s="374"/>
      <c r="F350" s="374"/>
      <c r="G350" s="375">
        <f t="shared" si="10"/>
        <v>0</v>
      </c>
      <c r="H350" s="375">
        <f t="shared" si="11"/>
        <v>0</v>
      </c>
      <c r="I350" s="376">
        <v>0</v>
      </c>
    </row>
    <row r="351" spans="1:9" x14ac:dyDescent="0.25">
      <c r="A351" s="373">
        <v>151</v>
      </c>
      <c r="B351" s="374">
        <f>PRRAS!C362</f>
        <v>350</v>
      </c>
      <c r="C351" s="374">
        <f>PRRAS!D362</f>
        <v>0</v>
      </c>
      <c r="D351" s="374">
        <f>PRRAS!E362</f>
        <v>0</v>
      </c>
      <c r="E351" s="374"/>
      <c r="F351" s="374"/>
      <c r="G351" s="375">
        <f t="shared" si="10"/>
        <v>0</v>
      </c>
      <c r="H351" s="375">
        <f t="shared" si="11"/>
        <v>0</v>
      </c>
      <c r="I351" s="376">
        <v>0</v>
      </c>
    </row>
    <row r="352" spans="1:9" x14ac:dyDescent="0.25">
      <c r="A352" s="373">
        <v>151</v>
      </c>
      <c r="B352" s="374">
        <f>PRRAS!C363</f>
        <v>351</v>
      </c>
      <c r="C352" s="374">
        <f>PRRAS!D363</f>
        <v>0</v>
      </c>
      <c r="D352" s="374">
        <f>PRRAS!E363</f>
        <v>0</v>
      </c>
      <c r="E352" s="374"/>
      <c r="F352" s="374"/>
      <c r="G352" s="375">
        <f t="shared" si="10"/>
        <v>0</v>
      </c>
      <c r="H352" s="375">
        <f t="shared" si="11"/>
        <v>0</v>
      </c>
      <c r="I352" s="376">
        <v>0</v>
      </c>
    </row>
    <row r="353" spans="1:9" x14ac:dyDescent="0.25">
      <c r="A353" s="373">
        <v>151</v>
      </c>
      <c r="B353" s="374">
        <f>PRRAS!C364</f>
        <v>352</v>
      </c>
      <c r="C353" s="374">
        <f>PRRAS!D364</f>
        <v>0</v>
      </c>
      <c r="D353" s="374">
        <f>PRRAS!E364</f>
        <v>0</v>
      </c>
      <c r="E353" s="374"/>
      <c r="F353" s="374"/>
      <c r="G353" s="375">
        <f t="shared" si="10"/>
        <v>0</v>
      </c>
      <c r="H353" s="375">
        <f t="shared" si="11"/>
        <v>0</v>
      </c>
      <c r="I353" s="376">
        <v>0</v>
      </c>
    </row>
    <row r="354" spans="1:9" x14ac:dyDescent="0.25">
      <c r="A354" s="373">
        <v>151</v>
      </c>
      <c r="B354" s="374">
        <f>PRRAS!C365</f>
        <v>353</v>
      </c>
      <c r="C354" s="374">
        <f>PRRAS!D365</f>
        <v>0</v>
      </c>
      <c r="D354" s="374">
        <f>PRRAS!E365</f>
        <v>0</v>
      </c>
      <c r="E354" s="374"/>
      <c r="F354" s="374"/>
      <c r="G354" s="375">
        <f t="shared" si="10"/>
        <v>0</v>
      </c>
      <c r="H354" s="375">
        <f t="shared" si="11"/>
        <v>0</v>
      </c>
      <c r="I354" s="376">
        <v>0</v>
      </c>
    </row>
    <row r="355" spans="1:9" x14ac:dyDescent="0.25">
      <c r="A355" s="373">
        <v>151</v>
      </c>
      <c r="B355" s="374">
        <f>PRRAS!C366</f>
        <v>354</v>
      </c>
      <c r="C355" s="374">
        <f>PRRAS!D366</f>
        <v>0</v>
      </c>
      <c r="D355" s="374">
        <f>PRRAS!E366</f>
        <v>0</v>
      </c>
      <c r="E355" s="374"/>
      <c r="F355" s="374"/>
      <c r="G355" s="375">
        <f t="shared" si="10"/>
        <v>0</v>
      </c>
      <c r="H355" s="375">
        <f t="shared" si="11"/>
        <v>0</v>
      </c>
      <c r="I355" s="376">
        <v>0</v>
      </c>
    </row>
    <row r="356" spans="1:9" x14ac:dyDescent="0.25">
      <c r="A356" s="373">
        <v>151</v>
      </c>
      <c r="B356" s="374">
        <f>PRRAS!C367</f>
        <v>355</v>
      </c>
      <c r="C356" s="374">
        <f>PRRAS!D367</f>
        <v>0</v>
      </c>
      <c r="D356" s="374">
        <f>PRRAS!E367</f>
        <v>0</v>
      </c>
      <c r="E356" s="374"/>
      <c r="F356" s="374"/>
      <c r="G356" s="375">
        <f t="shared" si="10"/>
        <v>0</v>
      </c>
      <c r="H356" s="375">
        <f t="shared" si="11"/>
        <v>0</v>
      </c>
      <c r="I356" s="376">
        <v>0</v>
      </c>
    </row>
    <row r="357" spans="1:9" x14ac:dyDescent="0.25">
      <c r="A357" s="373">
        <v>151</v>
      </c>
      <c r="B357" s="374">
        <f>PRRAS!C368</f>
        <v>356</v>
      </c>
      <c r="C357" s="374">
        <f>PRRAS!D368</f>
        <v>0</v>
      </c>
      <c r="D357" s="374">
        <f>PRRAS!E368</f>
        <v>0</v>
      </c>
      <c r="E357" s="374"/>
      <c r="F357" s="374"/>
      <c r="G357" s="375">
        <f t="shared" si="10"/>
        <v>0</v>
      </c>
      <c r="H357" s="375">
        <f t="shared" si="11"/>
        <v>0</v>
      </c>
      <c r="I357" s="376">
        <v>0</v>
      </c>
    </row>
    <row r="358" spans="1:9" x14ac:dyDescent="0.25">
      <c r="A358" s="373">
        <v>151</v>
      </c>
      <c r="B358" s="374">
        <f>PRRAS!C369</f>
        <v>357</v>
      </c>
      <c r="C358" s="374">
        <f>PRRAS!D369</f>
        <v>0</v>
      </c>
      <c r="D358" s="374">
        <f>PRRAS!E369</f>
        <v>0</v>
      </c>
      <c r="E358" s="374"/>
      <c r="F358" s="374"/>
      <c r="G358" s="375">
        <f t="shared" si="10"/>
        <v>0</v>
      </c>
      <c r="H358" s="375">
        <f t="shared" si="11"/>
        <v>0</v>
      </c>
      <c r="I358" s="376">
        <v>0</v>
      </c>
    </row>
    <row r="359" spans="1:9" x14ac:dyDescent="0.25">
      <c r="A359" s="373">
        <v>151</v>
      </c>
      <c r="B359" s="374">
        <f>PRRAS!C370</f>
        <v>358</v>
      </c>
      <c r="C359" s="374">
        <f>PRRAS!D370</f>
        <v>0</v>
      </c>
      <c r="D359" s="374">
        <f>PRRAS!E370</f>
        <v>0</v>
      </c>
      <c r="E359" s="374"/>
      <c r="F359" s="374"/>
      <c r="G359" s="375">
        <f t="shared" si="10"/>
        <v>0</v>
      </c>
      <c r="H359" s="375">
        <f t="shared" si="11"/>
        <v>0</v>
      </c>
      <c r="I359" s="376">
        <v>0</v>
      </c>
    </row>
    <row r="360" spans="1:9" x14ac:dyDescent="0.25">
      <c r="A360" s="373">
        <v>151</v>
      </c>
      <c r="B360" s="374">
        <f>PRRAS!C371</f>
        <v>359</v>
      </c>
      <c r="C360" s="374">
        <f>PRRAS!D371</f>
        <v>0</v>
      </c>
      <c r="D360" s="374">
        <f>PRRAS!E371</f>
        <v>0</v>
      </c>
      <c r="E360" s="374"/>
      <c r="F360" s="374"/>
      <c r="G360" s="375">
        <f t="shared" si="10"/>
        <v>0</v>
      </c>
      <c r="H360" s="375">
        <f t="shared" si="11"/>
        <v>0</v>
      </c>
      <c r="I360" s="376">
        <v>0</v>
      </c>
    </row>
    <row r="361" spans="1:9" x14ac:dyDescent="0.25">
      <c r="A361" s="373">
        <v>151</v>
      </c>
      <c r="B361" s="374">
        <f>PRRAS!C372</f>
        <v>360</v>
      </c>
      <c r="C361" s="374">
        <f>PRRAS!D372</f>
        <v>0</v>
      </c>
      <c r="D361" s="374">
        <f>PRRAS!E372</f>
        <v>0</v>
      </c>
      <c r="E361" s="374"/>
      <c r="F361" s="374"/>
      <c r="G361" s="375">
        <f t="shared" si="10"/>
        <v>0</v>
      </c>
      <c r="H361" s="375">
        <f t="shared" si="11"/>
        <v>0</v>
      </c>
      <c r="I361" s="376">
        <v>0</v>
      </c>
    </row>
    <row r="362" spans="1:9" x14ac:dyDescent="0.25">
      <c r="A362" s="373">
        <v>151</v>
      </c>
      <c r="B362" s="374">
        <f>PRRAS!C373</f>
        <v>361</v>
      </c>
      <c r="C362" s="374">
        <f>PRRAS!D373</f>
        <v>0</v>
      </c>
      <c r="D362" s="374">
        <f>PRRAS!E373</f>
        <v>0</v>
      </c>
      <c r="E362" s="374"/>
      <c r="F362" s="374"/>
      <c r="G362" s="375">
        <f t="shared" si="10"/>
        <v>0</v>
      </c>
      <c r="H362" s="375">
        <f t="shared" si="11"/>
        <v>0</v>
      </c>
      <c r="I362" s="376">
        <v>0</v>
      </c>
    </row>
    <row r="363" spans="1:9" x14ac:dyDescent="0.25">
      <c r="A363" s="373">
        <v>151</v>
      </c>
      <c r="B363" s="374">
        <f>PRRAS!C374</f>
        <v>362</v>
      </c>
      <c r="C363" s="374">
        <f>PRRAS!D374</f>
        <v>0</v>
      </c>
      <c r="D363" s="374">
        <f>PRRAS!E374</f>
        <v>0</v>
      </c>
      <c r="E363" s="374"/>
      <c r="F363" s="374"/>
      <c r="G363" s="375">
        <f t="shared" si="10"/>
        <v>0</v>
      </c>
      <c r="H363" s="375">
        <f t="shared" si="11"/>
        <v>0</v>
      </c>
      <c r="I363" s="376">
        <v>0</v>
      </c>
    </row>
    <row r="364" spans="1:9" x14ac:dyDescent="0.25">
      <c r="A364" s="373">
        <v>151</v>
      </c>
      <c r="B364" s="374">
        <f>PRRAS!C375</f>
        <v>363</v>
      </c>
      <c r="C364" s="374">
        <f>PRRAS!D375</f>
        <v>0</v>
      </c>
      <c r="D364" s="374">
        <f>PRRAS!E375</f>
        <v>0</v>
      </c>
      <c r="E364" s="374"/>
      <c r="F364" s="374"/>
      <c r="G364" s="375">
        <f t="shared" si="10"/>
        <v>0</v>
      </c>
      <c r="H364" s="375">
        <f t="shared" si="11"/>
        <v>0</v>
      </c>
      <c r="I364" s="376">
        <v>0</v>
      </c>
    </row>
    <row r="365" spans="1:9" x14ac:dyDescent="0.25">
      <c r="A365" s="373">
        <v>151</v>
      </c>
      <c r="B365" s="374">
        <f>PRRAS!C376</f>
        <v>364</v>
      </c>
      <c r="C365" s="374">
        <f>PRRAS!D376</f>
        <v>0</v>
      </c>
      <c r="D365" s="374">
        <f>PRRAS!E376</f>
        <v>0</v>
      </c>
      <c r="E365" s="374"/>
      <c r="F365" s="374"/>
      <c r="G365" s="375">
        <f t="shared" si="10"/>
        <v>0</v>
      </c>
      <c r="H365" s="375">
        <f t="shared" si="11"/>
        <v>0</v>
      </c>
      <c r="I365" s="376">
        <v>0</v>
      </c>
    </row>
    <row r="366" spans="1:9" x14ac:dyDescent="0.25">
      <c r="A366" s="373">
        <v>151</v>
      </c>
      <c r="B366" s="374">
        <f>PRRAS!C377</f>
        <v>365</v>
      </c>
      <c r="C366" s="374">
        <f>PRRAS!D377</f>
        <v>0</v>
      </c>
      <c r="D366" s="374">
        <f>PRRAS!E377</f>
        <v>0</v>
      </c>
      <c r="E366" s="374"/>
      <c r="F366" s="374"/>
      <c r="G366" s="375">
        <f t="shared" si="10"/>
        <v>0</v>
      </c>
      <c r="H366" s="375">
        <f t="shared" si="11"/>
        <v>0</v>
      </c>
      <c r="I366" s="376">
        <v>0</v>
      </c>
    </row>
    <row r="367" spans="1:9" x14ac:dyDescent="0.25">
      <c r="A367" s="373">
        <v>151</v>
      </c>
      <c r="B367" s="374">
        <f>PRRAS!C378</f>
        <v>366</v>
      </c>
      <c r="C367" s="374">
        <f>PRRAS!D378</f>
        <v>0</v>
      </c>
      <c r="D367" s="374">
        <f>PRRAS!E378</f>
        <v>0</v>
      </c>
      <c r="E367" s="374"/>
      <c r="F367" s="374"/>
      <c r="G367" s="375">
        <f t="shared" si="10"/>
        <v>0</v>
      </c>
      <c r="H367" s="375">
        <f t="shared" si="11"/>
        <v>0</v>
      </c>
      <c r="I367" s="376">
        <v>0</v>
      </c>
    </row>
    <row r="368" spans="1:9" x14ac:dyDescent="0.25">
      <c r="A368" s="373">
        <v>151</v>
      </c>
      <c r="B368" s="374">
        <f>PRRAS!C379</f>
        <v>367</v>
      </c>
      <c r="C368" s="374">
        <f>PRRAS!D379</f>
        <v>0</v>
      </c>
      <c r="D368" s="374">
        <f>PRRAS!E379</f>
        <v>0</v>
      </c>
      <c r="E368" s="374"/>
      <c r="F368" s="374"/>
      <c r="G368" s="375">
        <f t="shared" si="10"/>
        <v>0</v>
      </c>
      <c r="H368" s="375">
        <f t="shared" si="11"/>
        <v>0</v>
      </c>
      <c r="I368" s="376">
        <v>0</v>
      </c>
    </row>
    <row r="369" spans="1:9" x14ac:dyDescent="0.25">
      <c r="A369" s="373">
        <v>151</v>
      </c>
      <c r="B369" s="374">
        <f>PRRAS!C380</f>
        <v>368</v>
      </c>
      <c r="C369" s="374">
        <f>PRRAS!D380</f>
        <v>0</v>
      </c>
      <c r="D369" s="374">
        <f>PRRAS!E380</f>
        <v>0</v>
      </c>
      <c r="E369" s="374"/>
      <c r="F369" s="374"/>
      <c r="G369" s="375">
        <f t="shared" si="10"/>
        <v>0</v>
      </c>
      <c r="H369" s="375">
        <f t="shared" si="11"/>
        <v>0</v>
      </c>
      <c r="I369" s="376">
        <v>0</v>
      </c>
    </row>
    <row r="370" spans="1:9" x14ac:dyDescent="0.25">
      <c r="A370" s="373">
        <v>151</v>
      </c>
      <c r="B370" s="374">
        <f>PRRAS!C381</f>
        <v>369</v>
      </c>
      <c r="C370" s="374">
        <f>PRRAS!D381</f>
        <v>0</v>
      </c>
      <c r="D370" s="374">
        <f>PRRAS!E381</f>
        <v>0</v>
      </c>
      <c r="E370" s="374"/>
      <c r="F370" s="374"/>
      <c r="G370" s="375">
        <f t="shared" si="10"/>
        <v>0</v>
      </c>
      <c r="H370" s="375">
        <f t="shared" si="11"/>
        <v>0</v>
      </c>
      <c r="I370" s="376">
        <v>0</v>
      </c>
    </row>
    <row r="371" spans="1:9" x14ac:dyDescent="0.25">
      <c r="A371" s="373">
        <v>151</v>
      </c>
      <c r="B371" s="374">
        <f>PRRAS!C382</f>
        <v>370</v>
      </c>
      <c r="C371" s="374">
        <f>PRRAS!D382</f>
        <v>0</v>
      </c>
      <c r="D371" s="374">
        <f>PRRAS!E382</f>
        <v>0</v>
      </c>
      <c r="E371" s="374"/>
      <c r="F371" s="374"/>
      <c r="G371" s="375">
        <f t="shared" si="10"/>
        <v>0</v>
      </c>
      <c r="H371" s="375">
        <f t="shared" si="11"/>
        <v>0</v>
      </c>
      <c r="I371" s="376">
        <v>0</v>
      </c>
    </row>
    <row r="372" spans="1:9" x14ac:dyDescent="0.25">
      <c r="A372" s="373">
        <v>151</v>
      </c>
      <c r="B372" s="374">
        <f>PRRAS!C383</f>
        <v>371</v>
      </c>
      <c r="C372" s="374">
        <f>PRRAS!D383</f>
        <v>0</v>
      </c>
      <c r="D372" s="374">
        <f>PRRAS!E383</f>
        <v>0</v>
      </c>
      <c r="E372" s="374"/>
      <c r="F372" s="374"/>
      <c r="G372" s="375">
        <f t="shared" si="10"/>
        <v>0</v>
      </c>
      <c r="H372" s="375">
        <f t="shared" si="11"/>
        <v>0</v>
      </c>
      <c r="I372" s="376">
        <v>0</v>
      </c>
    </row>
    <row r="373" spans="1:9" x14ac:dyDescent="0.25">
      <c r="A373" s="373">
        <v>151</v>
      </c>
      <c r="B373" s="374">
        <f>PRRAS!C384</f>
        <v>372</v>
      </c>
      <c r="C373" s="374">
        <f>PRRAS!D384</f>
        <v>0</v>
      </c>
      <c r="D373" s="374">
        <f>PRRAS!E384</f>
        <v>0</v>
      </c>
      <c r="E373" s="374"/>
      <c r="F373" s="374"/>
      <c r="G373" s="375">
        <f t="shared" si="10"/>
        <v>0</v>
      </c>
      <c r="H373" s="375">
        <f t="shared" si="11"/>
        <v>0</v>
      </c>
      <c r="I373" s="376">
        <v>0</v>
      </c>
    </row>
    <row r="374" spans="1:9" x14ac:dyDescent="0.25">
      <c r="A374" s="373">
        <v>151</v>
      </c>
      <c r="B374" s="374">
        <f>PRRAS!C385</f>
        <v>373</v>
      </c>
      <c r="C374" s="374">
        <f>PRRAS!D385</f>
        <v>58235</v>
      </c>
      <c r="D374" s="374">
        <f>PRRAS!E385</f>
        <v>77031</v>
      </c>
      <c r="E374" s="374"/>
      <c r="F374" s="374"/>
      <c r="G374" s="375">
        <f t="shared" si="10"/>
        <v>79186.781000000003</v>
      </c>
      <c r="H374" s="375">
        <f t="shared" si="11"/>
        <v>0</v>
      </c>
      <c r="I374" s="376">
        <v>0</v>
      </c>
    </row>
    <row r="375" spans="1:9" x14ac:dyDescent="0.25">
      <c r="A375" s="373">
        <v>151</v>
      </c>
      <c r="B375" s="374">
        <f>PRRAS!C386</f>
        <v>374</v>
      </c>
      <c r="C375" s="374">
        <f>PRRAS!D386</f>
        <v>0</v>
      </c>
      <c r="D375" s="374">
        <f>PRRAS!E386</f>
        <v>0</v>
      </c>
      <c r="E375" s="374"/>
      <c r="F375" s="374"/>
      <c r="G375" s="375">
        <f t="shared" si="10"/>
        <v>0</v>
      </c>
      <c r="H375" s="375">
        <f t="shared" si="11"/>
        <v>0</v>
      </c>
      <c r="I375" s="376">
        <v>0</v>
      </c>
    </row>
    <row r="376" spans="1:9" x14ac:dyDescent="0.25">
      <c r="A376" s="373">
        <v>151</v>
      </c>
      <c r="B376" s="374">
        <f>PRRAS!C387</f>
        <v>375</v>
      </c>
      <c r="C376" s="374">
        <f>PRRAS!D387</f>
        <v>1094563</v>
      </c>
      <c r="D376" s="374">
        <f>PRRAS!E387</f>
        <v>1152798</v>
      </c>
      <c r="E376" s="374"/>
      <c r="F376" s="374"/>
      <c r="G376" s="375">
        <f t="shared" si="10"/>
        <v>1275059.625</v>
      </c>
      <c r="H376" s="375">
        <f t="shared" si="11"/>
        <v>0</v>
      </c>
      <c r="I376" s="376">
        <v>0</v>
      </c>
    </row>
    <row r="377" spans="1:9" x14ac:dyDescent="0.25">
      <c r="A377" s="373">
        <v>151</v>
      </c>
      <c r="B377" s="374">
        <f>PRRAS!C388</f>
        <v>376</v>
      </c>
      <c r="C377" s="374">
        <f>PRRAS!D388</f>
        <v>0</v>
      </c>
      <c r="D377" s="374">
        <f>PRRAS!E388</f>
        <v>0</v>
      </c>
      <c r="E377" s="374"/>
      <c r="F377" s="374"/>
      <c r="G377" s="375">
        <f t="shared" si="10"/>
        <v>0</v>
      </c>
      <c r="H377" s="375">
        <f t="shared" si="11"/>
        <v>0</v>
      </c>
      <c r="I377" s="376">
        <v>0</v>
      </c>
    </row>
    <row r="378" spans="1:9" x14ac:dyDescent="0.25">
      <c r="A378" s="373">
        <v>151</v>
      </c>
      <c r="B378" s="374">
        <f>PRRAS!C389</f>
        <v>377</v>
      </c>
      <c r="C378" s="374">
        <f>PRRAS!D389</f>
        <v>3117130</v>
      </c>
      <c r="D378" s="374">
        <f>PRRAS!E389</f>
        <v>3203693</v>
      </c>
      <c r="E378" s="374"/>
      <c r="F378" s="374"/>
      <c r="G378" s="375">
        <f t="shared" si="10"/>
        <v>3590742.5320000001</v>
      </c>
      <c r="H378" s="375">
        <f t="shared" si="11"/>
        <v>0</v>
      </c>
      <c r="I378" s="376">
        <v>0</v>
      </c>
    </row>
    <row r="379" spans="1:9" x14ac:dyDescent="0.25">
      <c r="A379" s="373">
        <v>151</v>
      </c>
      <c r="B379" s="374">
        <f>PRRAS!C390</f>
        <v>378</v>
      </c>
      <c r="C379" s="374">
        <f>PRRAS!D390</f>
        <v>2989421</v>
      </c>
      <c r="D379" s="374">
        <f>PRRAS!E390</f>
        <v>3329441</v>
      </c>
      <c r="E379" s="374"/>
      <c r="F379" s="374"/>
      <c r="G379" s="375">
        <f t="shared" si="10"/>
        <v>3647058.534</v>
      </c>
      <c r="H379" s="375">
        <f t="shared" si="11"/>
        <v>0</v>
      </c>
      <c r="I379" s="376">
        <v>0</v>
      </c>
    </row>
    <row r="380" spans="1:9" x14ac:dyDescent="0.25">
      <c r="A380" s="373">
        <v>151</v>
      </c>
      <c r="B380" s="374">
        <f>PRRAS!C391</f>
        <v>379</v>
      </c>
      <c r="C380" s="374">
        <f>PRRAS!D391</f>
        <v>127709</v>
      </c>
      <c r="D380" s="374">
        <f>PRRAS!E391</f>
        <v>0</v>
      </c>
      <c r="E380" s="374"/>
      <c r="F380" s="374"/>
      <c r="G380" s="375">
        <f t="shared" si="10"/>
        <v>48401.711000000003</v>
      </c>
      <c r="H380" s="375">
        <f t="shared" si="11"/>
        <v>0</v>
      </c>
      <c r="I380" s="376">
        <v>0</v>
      </c>
    </row>
    <row r="381" spans="1:9" x14ac:dyDescent="0.25">
      <c r="A381" s="373">
        <v>151</v>
      </c>
      <c r="B381" s="374">
        <f>PRRAS!C392</f>
        <v>380</v>
      </c>
      <c r="C381" s="374">
        <f>PRRAS!D392</f>
        <v>0</v>
      </c>
      <c r="D381" s="374">
        <f>PRRAS!E392</f>
        <v>125748</v>
      </c>
      <c r="E381" s="374"/>
      <c r="F381" s="374"/>
      <c r="G381" s="375">
        <f t="shared" si="10"/>
        <v>95568.48</v>
      </c>
      <c r="H381" s="375">
        <f t="shared" si="11"/>
        <v>0</v>
      </c>
      <c r="I381" s="376">
        <v>0</v>
      </c>
    </row>
    <row r="382" spans="1:9" x14ac:dyDescent="0.25">
      <c r="A382" s="373">
        <v>151</v>
      </c>
      <c r="B382" s="374">
        <f>PRRAS!C393</f>
        <v>381</v>
      </c>
      <c r="C382" s="374">
        <f>PRRAS!D393</f>
        <v>168209</v>
      </c>
      <c r="D382" s="374">
        <f>PRRAS!E393</f>
        <v>295916</v>
      </c>
      <c r="E382" s="374"/>
      <c r="F382" s="374"/>
      <c r="G382" s="375">
        <f t="shared" si="10"/>
        <v>289575.62099999998</v>
      </c>
      <c r="H382" s="375">
        <f t="shared" si="11"/>
        <v>0</v>
      </c>
      <c r="I382" s="376">
        <v>0</v>
      </c>
    </row>
    <row r="383" spans="1:9" x14ac:dyDescent="0.25">
      <c r="A383" s="373">
        <v>151</v>
      </c>
      <c r="B383" s="374">
        <f>PRRAS!C394</f>
        <v>382</v>
      </c>
      <c r="C383" s="374">
        <f>PRRAS!D394</f>
        <v>0</v>
      </c>
      <c r="D383" s="374">
        <f>PRRAS!E394</f>
        <v>0</v>
      </c>
      <c r="E383" s="374"/>
      <c r="F383" s="374"/>
      <c r="G383" s="375">
        <f t="shared" si="10"/>
        <v>0</v>
      </c>
      <c r="H383" s="375">
        <f t="shared" si="11"/>
        <v>0</v>
      </c>
      <c r="I383" s="376">
        <v>0</v>
      </c>
    </row>
    <row r="384" spans="1:9" x14ac:dyDescent="0.25">
      <c r="A384" s="373">
        <v>151</v>
      </c>
      <c r="B384" s="374">
        <f>PRRAS!C395</f>
        <v>383</v>
      </c>
      <c r="C384" s="374">
        <f>PRRAS!D395</f>
        <v>119890</v>
      </c>
      <c r="D384" s="374">
        <f>PRRAS!E395</f>
        <v>155403</v>
      </c>
      <c r="E384" s="374"/>
      <c r="F384" s="374"/>
      <c r="G384" s="375">
        <f t="shared" si="10"/>
        <v>164956.568</v>
      </c>
      <c r="H384" s="375">
        <f t="shared" si="11"/>
        <v>0</v>
      </c>
      <c r="I384" s="376">
        <v>0</v>
      </c>
    </row>
    <row r="385" spans="1:9" x14ac:dyDescent="0.25">
      <c r="A385" s="373">
        <v>151</v>
      </c>
      <c r="B385" s="374">
        <f>PRRAS!C397</f>
        <v>384</v>
      </c>
      <c r="C385" s="374">
        <f>PRRAS!D397</f>
        <v>0</v>
      </c>
      <c r="D385" s="374">
        <f>PRRAS!E397</f>
        <v>0</v>
      </c>
      <c r="E385" s="374"/>
      <c r="F385" s="374"/>
      <c r="G385" s="375">
        <f t="shared" si="10"/>
        <v>0</v>
      </c>
      <c r="H385" s="375">
        <f t="shared" si="11"/>
        <v>0</v>
      </c>
      <c r="I385" s="376">
        <v>0</v>
      </c>
    </row>
    <row r="386" spans="1:9" x14ac:dyDescent="0.25">
      <c r="A386" s="373">
        <v>151</v>
      </c>
      <c r="B386" s="374">
        <f>PRRAS!C398</f>
        <v>385</v>
      </c>
      <c r="C386" s="374">
        <f>PRRAS!D398</f>
        <v>0</v>
      </c>
      <c r="D386" s="374">
        <f>PRRAS!E398</f>
        <v>0</v>
      </c>
      <c r="E386" s="374"/>
      <c r="F386" s="374"/>
      <c r="G386" s="375">
        <f t="shared" si="10"/>
        <v>0</v>
      </c>
      <c r="H386" s="375">
        <f t="shared" si="11"/>
        <v>0</v>
      </c>
      <c r="I386" s="376">
        <v>0</v>
      </c>
    </row>
    <row r="387" spans="1:9" x14ac:dyDescent="0.25">
      <c r="A387" s="373">
        <v>151</v>
      </c>
      <c r="B387" s="374">
        <f>PRRAS!C399</f>
        <v>386</v>
      </c>
      <c r="C387" s="374">
        <f>PRRAS!D399</f>
        <v>0</v>
      </c>
      <c r="D387" s="374">
        <f>PRRAS!E399</f>
        <v>0</v>
      </c>
      <c r="E387" s="374"/>
      <c r="F387" s="374"/>
      <c r="G387" s="375">
        <f t="shared" ref="G387:G450" si="12">(B387/1000)*(C387*1+D387*2)</f>
        <v>0</v>
      </c>
      <c r="H387" s="375">
        <f t="shared" ref="H387:H450" si="13">ABS(C387-ROUND(C387,0))+ABS(D387-ROUND(D387,0))</f>
        <v>0</v>
      </c>
      <c r="I387" s="376">
        <v>0</v>
      </c>
    </row>
    <row r="388" spans="1:9" x14ac:dyDescent="0.25">
      <c r="A388" s="373">
        <v>151</v>
      </c>
      <c r="B388" s="374">
        <f>PRRAS!C400</f>
        <v>387</v>
      </c>
      <c r="C388" s="374">
        <f>PRRAS!D400</f>
        <v>0</v>
      </c>
      <c r="D388" s="374">
        <f>PRRAS!E400</f>
        <v>0</v>
      </c>
      <c r="E388" s="374"/>
      <c r="F388" s="374"/>
      <c r="G388" s="375">
        <f t="shared" si="12"/>
        <v>0</v>
      </c>
      <c r="H388" s="375">
        <f t="shared" si="13"/>
        <v>0</v>
      </c>
      <c r="I388" s="376">
        <v>0</v>
      </c>
    </row>
    <row r="389" spans="1:9" x14ac:dyDescent="0.25">
      <c r="A389" s="373">
        <v>151</v>
      </c>
      <c r="B389" s="374">
        <f>PRRAS!C401</f>
        <v>388</v>
      </c>
      <c r="C389" s="374">
        <f>PRRAS!D401</f>
        <v>0</v>
      </c>
      <c r="D389" s="374">
        <f>PRRAS!E401</f>
        <v>0</v>
      </c>
      <c r="E389" s="374"/>
      <c r="F389" s="374"/>
      <c r="G389" s="375">
        <f t="shared" si="12"/>
        <v>0</v>
      </c>
      <c r="H389" s="375">
        <f t="shared" si="13"/>
        <v>0</v>
      </c>
      <c r="I389" s="376">
        <v>0</v>
      </c>
    </row>
    <row r="390" spans="1:9" x14ac:dyDescent="0.25">
      <c r="A390" s="373">
        <v>151</v>
      </c>
      <c r="B390" s="374">
        <f>PRRAS!C402</f>
        <v>389</v>
      </c>
      <c r="C390" s="374">
        <f>PRRAS!D402</f>
        <v>0</v>
      </c>
      <c r="D390" s="374">
        <f>PRRAS!E402</f>
        <v>0</v>
      </c>
      <c r="E390" s="374"/>
      <c r="F390" s="374"/>
      <c r="G390" s="375">
        <f t="shared" si="12"/>
        <v>0</v>
      </c>
      <c r="H390" s="375">
        <f t="shared" si="13"/>
        <v>0</v>
      </c>
      <c r="I390" s="376">
        <v>0</v>
      </c>
    </row>
    <row r="391" spans="1:9" x14ac:dyDescent="0.25">
      <c r="A391" s="373">
        <v>151</v>
      </c>
      <c r="B391" s="374">
        <f>PRRAS!C403</f>
        <v>390</v>
      </c>
      <c r="C391" s="374">
        <f>PRRAS!D403</f>
        <v>0</v>
      </c>
      <c r="D391" s="374">
        <f>PRRAS!E403</f>
        <v>0</v>
      </c>
      <c r="E391" s="374"/>
      <c r="F391" s="374"/>
      <c r="G391" s="375">
        <f t="shared" si="12"/>
        <v>0</v>
      </c>
      <c r="H391" s="375">
        <f t="shared" si="13"/>
        <v>0</v>
      </c>
      <c r="I391" s="376">
        <v>0</v>
      </c>
    </row>
    <row r="392" spans="1:9" x14ac:dyDescent="0.25">
      <c r="A392" s="373">
        <v>151</v>
      </c>
      <c r="B392" s="374">
        <f>PRRAS!C404</f>
        <v>391</v>
      </c>
      <c r="C392" s="374">
        <f>PRRAS!D404</f>
        <v>0</v>
      </c>
      <c r="D392" s="374">
        <f>PRRAS!E404</f>
        <v>0</v>
      </c>
      <c r="E392" s="374"/>
      <c r="F392" s="374"/>
      <c r="G392" s="375">
        <f t="shared" si="12"/>
        <v>0</v>
      </c>
      <c r="H392" s="375">
        <f t="shared" si="13"/>
        <v>0</v>
      </c>
      <c r="I392" s="376">
        <v>0</v>
      </c>
    </row>
    <row r="393" spans="1:9" x14ac:dyDescent="0.25">
      <c r="A393" s="373">
        <v>151</v>
      </c>
      <c r="B393" s="374">
        <f>PRRAS!C405</f>
        <v>392</v>
      </c>
      <c r="C393" s="374">
        <f>PRRAS!D405</f>
        <v>0</v>
      </c>
      <c r="D393" s="374">
        <f>PRRAS!E405</f>
        <v>0</v>
      </c>
      <c r="E393" s="374"/>
      <c r="F393" s="374"/>
      <c r="G393" s="375">
        <f t="shared" si="12"/>
        <v>0</v>
      </c>
      <c r="H393" s="375">
        <f t="shared" si="13"/>
        <v>0</v>
      </c>
      <c r="I393" s="376">
        <v>0</v>
      </c>
    </row>
    <row r="394" spans="1:9" x14ac:dyDescent="0.25">
      <c r="A394" s="373">
        <v>151</v>
      </c>
      <c r="B394" s="374">
        <f>PRRAS!C406</f>
        <v>393</v>
      </c>
      <c r="C394" s="374">
        <f>PRRAS!D406</f>
        <v>0</v>
      </c>
      <c r="D394" s="374">
        <f>PRRAS!E406</f>
        <v>0</v>
      </c>
      <c r="E394" s="374"/>
      <c r="F394" s="374"/>
      <c r="G394" s="375">
        <f t="shared" si="12"/>
        <v>0</v>
      </c>
      <c r="H394" s="375">
        <f t="shared" si="13"/>
        <v>0</v>
      </c>
      <c r="I394" s="376">
        <v>0</v>
      </c>
    </row>
    <row r="395" spans="1:9" x14ac:dyDescent="0.25">
      <c r="A395" s="373">
        <v>151</v>
      </c>
      <c r="B395" s="374">
        <f>PRRAS!C407</f>
        <v>394</v>
      </c>
      <c r="C395" s="374">
        <f>PRRAS!D407</f>
        <v>0</v>
      </c>
      <c r="D395" s="374">
        <f>PRRAS!E407</f>
        <v>0</v>
      </c>
      <c r="E395" s="374"/>
      <c r="F395" s="374"/>
      <c r="G395" s="375">
        <f t="shared" si="12"/>
        <v>0</v>
      </c>
      <c r="H395" s="375">
        <f t="shared" si="13"/>
        <v>0</v>
      </c>
      <c r="I395" s="376">
        <v>0</v>
      </c>
    </row>
    <row r="396" spans="1:9" x14ac:dyDescent="0.25">
      <c r="A396" s="373">
        <v>151</v>
      </c>
      <c r="B396" s="374">
        <f>PRRAS!C408</f>
        <v>395</v>
      </c>
      <c r="C396" s="374">
        <f>PRRAS!D408</f>
        <v>0</v>
      </c>
      <c r="D396" s="374">
        <f>PRRAS!E408</f>
        <v>0</v>
      </c>
      <c r="E396" s="374"/>
      <c r="F396" s="374"/>
      <c r="G396" s="375">
        <f t="shared" si="12"/>
        <v>0</v>
      </c>
      <c r="H396" s="375">
        <f t="shared" si="13"/>
        <v>0</v>
      </c>
      <c r="I396" s="376">
        <v>0</v>
      </c>
    </row>
    <row r="397" spans="1:9" x14ac:dyDescent="0.25">
      <c r="A397" s="373">
        <v>151</v>
      </c>
      <c r="B397" s="374">
        <f>PRRAS!C409</f>
        <v>396</v>
      </c>
      <c r="C397" s="374">
        <f>PRRAS!D409</f>
        <v>0</v>
      </c>
      <c r="D397" s="374">
        <f>PRRAS!E409</f>
        <v>0</v>
      </c>
      <c r="E397" s="374"/>
      <c r="F397" s="374"/>
      <c r="G397" s="375">
        <f t="shared" si="12"/>
        <v>0</v>
      </c>
      <c r="H397" s="375">
        <f t="shared" si="13"/>
        <v>0</v>
      </c>
      <c r="I397" s="376">
        <v>0</v>
      </c>
    </row>
    <row r="398" spans="1:9" x14ac:dyDescent="0.25">
      <c r="A398" s="373">
        <v>151</v>
      </c>
      <c r="B398" s="374">
        <f>PRRAS!C410</f>
        <v>397</v>
      </c>
      <c r="C398" s="374">
        <f>PRRAS!D410</f>
        <v>0</v>
      </c>
      <c r="D398" s="374">
        <f>PRRAS!E410</f>
        <v>0</v>
      </c>
      <c r="E398" s="374"/>
      <c r="F398" s="374"/>
      <c r="G398" s="375">
        <f t="shared" si="12"/>
        <v>0</v>
      </c>
      <c r="H398" s="375">
        <f t="shared" si="13"/>
        <v>0</v>
      </c>
      <c r="I398" s="376">
        <v>0</v>
      </c>
    </row>
    <row r="399" spans="1:9" x14ac:dyDescent="0.25">
      <c r="A399" s="373">
        <v>151</v>
      </c>
      <c r="B399" s="374">
        <f>PRRAS!C411</f>
        <v>398</v>
      </c>
      <c r="C399" s="374">
        <f>PRRAS!D411</f>
        <v>0</v>
      </c>
      <c r="D399" s="374">
        <f>PRRAS!E411</f>
        <v>0</v>
      </c>
      <c r="E399" s="374"/>
      <c r="F399" s="374"/>
      <c r="G399" s="375">
        <f t="shared" si="12"/>
        <v>0</v>
      </c>
      <c r="H399" s="375">
        <f t="shared" si="13"/>
        <v>0</v>
      </c>
      <c r="I399" s="376">
        <v>0</v>
      </c>
    </row>
    <row r="400" spans="1:9" x14ac:dyDescent="0.25">
      <c r="A400" s="373">
        <v>151</v>
      </c>
      <c r="B400" s="374">
        <f>PRRAS!C412</f>
        <v>399</v>
      </c>
      <c r="C400" s="374">
        <f>PRRAS!D412</f>
        <v>0</v>
      </c>
      <c r="D400" s="374">
        <f>PRRAS!E412</f>
        <v>0</v>
      </c>
      <c r="E400" s="374"/>
      <c r="F400" s="374"/>
      <c r="G400" s="375">
        <f t="shared" si="12"/>
        <v>0</v>
      </c>
      <c r="H400" s="375">
        <f t="shared" si="13"/>
        <v>0</v>
      </c>
      <c r="I400" s="376">
        <v>0</v>
      </c>
    </row>
    <row r="401" spans="1:9" x14ac:dyDescent="0.25">
      <c r="A401" s="373">
        <v>151</v>
      </c>
      <c r="B401" s="374">
        <f>PRRAS!C413</f>
        <v>400</v>
      </c>
      <c r="C401" s="374">
        <f>PRRAS!D413</f>
        <v>0</v>
      </c>
      <c r="D401" s="374">
        <f>PRRAS!E413</f>
        <v>0</v>
      </c>
      <c r="E401" s="374"/>
      <c r="F401" s="374"/>
      <c r="G401" s="375">
        <f t="shared" si="12"/>
        <v>0</v>
      </c>
      <c r="H401" s="375">
        <f t="shared" si="13"/>
        <v>0</v>
      </c>
      <c r="I401" s="376">
        <v>0</v>
      </c>
    </row>
    <row r="402" spans="1:9" x14ac:dyDescent="0.25">
      <c r="A402" s="373">
        <v>151</v>
      </c>
      <c r="B402" s="374">
        <f>PRRAS!C414</f>
        <v>401</v>
      </c>
      <c r="C402" s="374">
        <f>PRRAS!D414</f>
        <v>0</v>
      </c>
      <c r="D402" s="374">
        <f>PRRAS!E414</f>
        <v>0</v>
      </c>
      <c r="E402" s="374"/>
      <c r="F402" s="374"/>
      <c r="G402" s="375">
        <f t="shared" si="12"/>
        <v>0</v>
      </c>
      <c r="H402" s="375">
        <f t="shared" si="13"/>
        <v>0</v>
      </c>
      <c r="I402" s="376">
        <v>0</v>
      </c>
    </row>
    <row r="403" spans="1:9" x14ac:dyDescent="0.25">
      <c r="A403" s="373">
        <v>151</v>
      </c>
      <c r="B403" s="374">
        <f>PRRAS!C415</f>
        <v>402</v>
      </c>
      <c r="C403" s="374">
        <f>PRRAS!D415</f>
        <v>0</v>
      </c>
      <c r="D403" s="374">
        <f>PRRAS!E415</f>
        <v>0</v>
      </c>
      <c r="E403" s="374"/>
      <c r="F403" s="374"/>
      <c r="G403" s="375">
        <f t="shared" si="12"/>
        <v>0</v>
      </c>
      <c r="H403" s="375">
        <f t="shared" si="13"/>
        <v>0</v>
      </c>
      <c r="I403" s="376">
        <v>0</v>
      </c>
    </row>
    <row r="404" spans="1:9" x14ac:dyDescent="0.25">
      <c r="A404" s="373">
        <v>151</v>
      </c>
      <c r="B404" s="374">
        <f>PRRAS!C416</f>
        <v>403</v>
      </c>
      <c r="C404" s="374">
        <f>PRRAS!D416</f>
        <v>0</v>
      </c>
      <c r="D404" s="374">
        <f>PRRAS!E416</f>
        <v>0</v>
      </c>
      <c r="E404" s="374"/>
      <c r="F404" s="374"/>
      <c r="G404" s="375">
        <f t="shared" si="12"/>
        <v>0</v>
      </c>
      <c r="H404" s="375">
        <f t="shared" si="13"/>
        <v>0</v>
      </c>
      <c r="I404" s="376">
        <v>0</v>
      </c>
    </row>
    <row r="405" spans="1:9" x14ac:dyDescent="0.25">
      <c r="A405" s="373">
        <v>151</v>
      </c>
      <c r="B405" s="374">
        <f>PRRAS!C417</f>
        <v>404</v>
      </c>
      <c r="C405" s="374">
        <f>PRRAS!D417</f>
        <v>0</v>
      </c>
      <c r="D405" s="374">
        <f>PRRAS!E417</f>
        <v>0</v>
      </c>
      <c r="E405" s="374"/>
      <c r="F405" s="374"/>
      <c r="G405" s="375">
        <f t="shared" si="12"/>
        <v>0</v>
      </c>
      <c r="H405" s="375">
        <f t="shared" si="13"/>
        <v>0</v>
      </c>
      <c r="I405" s="376">
        <v>0</v>
      </c>
    </row>
    <row r="406" spans="1:9" x14ac:dyDescent="0.25">
      <c r="A406" s="373">
        <v>151</v>
      </c>
      <c r="B406" s="374">
        <f>PRRAS!C418</f>
        <v>405</v>
      </c>
      <c r="C406" s="374">
        <f>PRRAS!D418</f>
        <v>0</v>
      </c>
      <c r="D406" s="374">
        <f>PRRAS!E418</f>
        <v>0</v>
      </c>
      <c r="E406" s="374"/>
      <c r="F406" s="374"/>
      <c r="G406" s="375">
        <f t="shared" si="12"/>
        <v>0</v>
      </c>
      <c r="H406" s="375">
        <f t="shared" si="13"/>
        <v>0</v>
      </c>
      <c r="I406" s="376">
        <v>0</v>
      </c>
    </row>
    <row r="407" spans="1:9" x14ac:dyDescent="0.25">
      <c r="A407" s="373">
        <v>151</v>
      </c>
      <c r="B407" s="374">
        <f>PRRAS!C419</f>
        <v>406</v>
      </c>
      <c r="C407" s="374">
        <f>PRRAS!D419</f>
        <v>0</v>
      </c>
      <c r="D407" s="374">
        <f>PRRAS!E419</f>
        <v>0</v>
      </c>
      <c r="E407" s="374"/>
      <c r="F407" s="374"/>
      <c r="G407" s="375">
        <f t="shared" si="12"/>
        <v>0</v>
      </c>
      <c r="H407" s="375">
        <f t="shared" si="13"/>
        <v>0</v>
      </c>
      <c r="I407" s="376">
        <v>0</v>
      </c>
    </row>
    <row r="408" spans="1:9" x14ac:dyDescent="0.25">
      <c r="A408" s="373">
        <v>151</v>
      </c>
      <c r="B408" s="374">
        <f>PRRAS!C420</f>
        <v>407</v>
      </c>
      <c r="C408" s="374">
        <f>PRRAS!D420</f>
        <v>0</v>
      </c>
      <c r="D408" s="374">
        <f>PRRAS!E420</f>
        <v>0</v>
      </c>
      <c r="E408" s="374"/>
      <c r="F408" s="374"/>
      <c r="G408" s="375">
        <f t="shared" si="12"/>
        <v>0</v>
      </c>
      <c r="H408" s="375">
        <f t="shared" si="13"/>
        <v>0</v>
      </c>
      <c r="I408" s="376">
        <v>0</v>
      </c>
    </row>
    <row r="409" spans="1:9" x14ac:dyDescent="0.25">
      <c r="A409" s="373">
        <v>151</v>
      </c>
      <c r="B409" s="374">
        <f>PRRAS!C421</f>
        <v>408</v>
      </c>
      <c r="C409" s="374">
        <f>PRRAS!D421</f>
        <v>0</v>
      </c>
      <c r="D409" s="374">
        <f>PRRAS!E421</f>
        <v>0</v>
      </c>
      <c r="E409" s="374"/>
      <c r="F409" s="374"/>
      <c r="G409" s="375">
        <f t="shared" si="12"/>
        <v>0</v>
      </c>
      <c r="H409" s="375">
        <f t="shared" si="13"/>
        <v>0</v>
      </c>
      <c r="I409" s="376">
        <v>0</v>
      </c>
    </row>
    <row r="410" spans="1:9" x14ac:dyDescent="0.25">
      <c r="A410" s="373">
        <v>151</v>
      </c>
      <c r="B410" s="374">
        <f>PRRAS!C422</f>
        <v>409</v>
      </c>
      <c r="C410" s="374">
        <f>PRRAS!D422</f>
        <v>0</v>
      </c>
      <c r="D410" s="374">
        <f>PRRAS!E422</f>
        <v>0</v>
      </c>
      <c r="E410" s="374"/>
      <c r="F410" s="374"/>
      <c r="G410" s="375">
        <f t="shared" si="12"/>
        <v>0</v>
      </c>
      <c r="H410" s="375">
        <f t="shared" si="13"/>
        <v>0</v>
      </c>
      <c r="I410" s="376">
        <v>0</v>
      </c>
    </row>
    <row r="411" spans="1:9" x14ac:dyDescent="0.25">
      <c r="A411" s="373">
        <v>151</v>
      </c>
      <c r="B411" s="374">
        <f>PRRAS!C423</f>
        <v>410</v>
      </c>
      <c r="C411" s="374">
        <f>PRRAS!D423</f>
        <v>0</v>
      </c>
      <c r="D411" s="374">
        <f>PRRAS!E423</f>
        <v>0</v>
      </c>
      <c r="E411" s="374"/>
      <c r="F411" s="374"/>
      <c r="G411" s="375">
        <f t="shared" si="12"/>
        <v>0</v>
      </c>
      <c r="H411" s="375">
        <f t="shared" si="13"/>
        <v>0</v>
      </c>
      <c r="I411" s="376">
        <v>0</v>
      </c>
    </row>
    <row r="412" spans="1:9" x14ac:dyDescent="0.25">
      <c r="A412" s="373">
        <v>151</v>
      </c>
      <c r="B412" s="374">
        <f>PRRAS!C424</f>
        <v>411</v>
      </c>
      <c r="C412" s="374">
        <f>PRRAS!D424</f>
        <v>0</v>
      </c>
      <c r="D412" s="374">
        <f>PRRAS!E424</f>
        <v>0</v>
      </c>
      <c r="E412" s="374"/>
      <c r="F412" s="374"/>
      <c r="G412" s="375">
        <f t="shared" si="12"/>
        <v>0</v>
      </c>
      <c r="H412" s="375">
        <f t="shared" si="13"/>
        <v>0</v>
      </c>
      <c r="I412" s="376">
        <v>0</v>
      </c>
    </row>
    <row r="413" spans="1:9" x14ac:dyDescent="0.25">
      <c r="A413" s="373">
        <v>151</v>
      </c>
      <c r="B413" s="374">
        <f>PRRAS!C425</f>
        <v>412</v>
      </c>
      <c r="C413" s="374">
        <f>PRRAS!D425</f>
        <v>0</v>
      </c>
      <c r="D413" s="374">
        <f>PRRAS!E425</f>
        <v>0</v>
      </c>
      <c r="E413" s="374"/>
      <c r="F413" s="374"/>
      <c r="G413" s="375">
        <f t="shared" si="12"/>
        <v>0</v>
      </c>
      <c r="H413" s="375">
        <f t="shared" si="13"/>
        <v>0</v>
      </c>
      <c r="I413" s="376">
        <v>0</v>
      </c>
    </row>
    <row r="414" spans="1:9" x14ac:dyDescent="0.25">
      <c r="A414" s="373">
        <v>151</v>
      </c>
      <c r="B414" s="374">
        <f>PRRAS!C426</f>
        <v>413</v>
      </c>
      <c r="C414" s="374">
        <f>PRRAS!D426</f>
        <v>0</v>
      </c>
      <c r="D414" s="374">
        <f>PRRAS!E426</f>
        <v>0</v>
      </c>
      <c r="E414" s="374"/>
      <c r="F414" s="374"/>
      <c r="G414" s="375">
        <f t="shared" si="12"/>
        <v>0</v>
      </c>
      <c r="H414" s="375">
        <f t="shared" si="13"/>
        <v>0</v>
      </c>
      <c r="I414" s="376">
        <v>0</v>
      </c>
    </row>
    <row r="415" spans="1:9" x14ac:dyDescent="0.25">
      <c r="A415" s="373">
        <v>151</v>
      </c>
      <c r="B415" s="374">
        <f>PRRAS!C427</f>
        <v>414</v>
      </c>
      <c r="C415" s="374">
        <f>PRRAS!D427</f>
        <v>0</v>
      </c>
      <c r="D415" s="374">
        <f>PRRAS!E427</f>
        <v>0</v>
      </c>
      <c r="E415" s="374"/>
      <c r="F415" s="374"/>
      <c r="G415" s="375">
        <f t="shared" si="12"/>
        <v>0</v>
      </c>
      <c r="H415" s="375">
        <f t="shared" si="13"/>
        <v>0</v>
      </c>
      <c r="I415" s="376">
        <v>0</v>
      </c>
    </row>
    <row r="416" spans="1:9" x14ac:dyDescent="0.25">
      <c r="A416" s="373">
        <v>151</v>
      </c>
      <c r="B416" s="374">
        <f>PRRAS!C428</f>
        <v>415</v>
      </c>
      <c r="C416" s="374">
        <f>PRRAS!D428</f>
        <v>0</v>
      </c>
      <c r="D416" s="374">
        <f>PRRAS!E428</f>
        <v>0</v>
      </c>
      <c r="E416" s="374"/>
      <c r="F416" s="374"/>
      <c r="G416" s="375">
        <f t="shared" si="12"/>
        <v>0</v>
      </c>
      <c r="H416" s="375">
        <f t="shared" si="13"/>
        <v>0</v>
      </c>
      <c r="I416" s="376">
        <v>0</v>
      </c>
    </row>
    <row r="417" spans="1:9" x14ac:dyDescent="0.25">
      <c r="A417" s="373">
        <v>151</v>
      </c>
      <c r="B417" s="374">
        <f>PRRAS!C429</f>
        <v>416</v>
      </c>
      <c r="C417" s="374">
        <f>PRRAS!D429</f>
        <v>0</v>
      </c>
      <c r="D417" s="374">
        <f>PRRAS!E429</f>
        <v>0</v>
      </c>
      <c r="E417" s="374"/>
      <c r="F417" s="374"/>
      <c r="G417" s="375">
        <f t="shared" si="12"/>
        <v>0</v>
      </c>
      <c r="H417" s="375">
        <f t="shared" si="13"/>
        <v>0</v>
      </c>
      <c r="I417" s="376">
        <v>0</v>
      </c>
    </row>
    <row r="418" spans="1:9" x14ac:dyDescent="0.25">
      <c r="A418" s="373">
        <v>151</v>
      </c>
      <c r="B418" s="374">
        <f>PRRAS!C430</f>
        <v>417</v>
      </c>
      <c r="C418" s="374">
        <f>PRRAS!D430</f>
        <v>0</v>
      </c>
      <c r="D418" s="374">
        <f>PRRAS!E430</f>
        <v>0</v>
      </c>
      <c r="E418" s="374"/>
      <c r="F418" s="374"/>
      <c r="G418" s="375">
        <f t="shared" si="12"/>
        <v>0</v>
      </c>
      <c r="H418" s="375">
        <f t="shared" si="13"/>
        <v>0</v>
      </c>
      <c r="I418" s="376">
        <v>0</v>
      </c>
    </row>
    <row r="419" spans="1:9" x14ac:dyDescent="0.25">
      <c r="A419" s="373">
        <v>151</v>
      </c>
      <c r="B419" s="374">
        <f>PRRAS!C431</f>
        <v>418</v>
      </c>
      <c r="C419" s="374">
        <f>PRRAS!D431</f>
        <v>0</v>
      </c>
      <c r="D419" s="374">
        <f>PRRAS!E431</f>
        <v>0</v>
      </c>
      <c r="E419" s="374"/>
      <c r="F419" s="374"/>
      <c r="G419" s="375">
        <f t="shared" si="12"/>
        <v>0</v>
      </c>
      <c r="H419" s="375">
        <f t="shared" si="13"/>
        <v>0</v>
      </c>
      <c r="I419" s="376">
        <v>0</v>
      </c>
    </row>
    <row r="420" spans="1:9" x14ac:dyDescent="0.25">
      <c r="A420" s="373">
        <v>151</v>
      </c>
      <c r="B420" s="374">
        <f>PRRAS!C432</f>
        <v>419</v>
      </c>
      <c r="C420" s="374">
        <f>PRRAS!D432</f>
        <v>0</v>
      </c>
      <c r="D420" s="374">
        <f>PRRAS!E432</f>
        <v>0</v>
      </c>
      <c r="E420" s="374"/>
      <c r="F420" s="374"/>
      <c r="G420" s="375">
        <f t="shared" si="12"/>
        <v>0</v>
      </c>
      <c r="H420" s="375">
        <f t="shared" si="13"/>
        <v>0</v>
      </c>
      <c r="I420" s="376">
        <v>0</v>
      </c>
    </row>
    <row r="421" spans="1:9" x14ac:dyDescent="0.25">
      <c r="A421" s="373">
        <v>151</v>
      </c>
      <c r="B421" s="374">
        <f>PRRAS!C433</f>
        <v>420</v>
      </c>
      <c r="C421" s="374">
        <f>PRRAS!D433</f>
        <v>0</v>
      </c>
      <c r="D421" s="374">
        <f>PRRAS!E433</f>
        <v>0</v>
      </c>
      <c r="E421" s="374"/>
      <c r="F421" s="374"/>
      <c r="G421" s="375">
        <f t="shared" si="12"/>
        <v>0</v>
      </c>
      <c r="H421" s="375">
        <f t="shared" si="13"/>
        <v>0</v>
      </c>
      <c r="I421" s="376">
        <v>0</v>
      </c>
    </row>
    <row r="422" spans="1:9" x14ac:dyDescent="0.25">
      <c r="A422" s="373">
        <v>151</v>
      </c>
      <c r="B422" s="374">
        <f>PRRAS!C434</f>
        <v>421</v>
      </c>
      <c r="C422" s="374">
        <f>PRRAS!D434</f>
        <v>0</v>
      </c>
      <c r="D422" s="374">
        <f>PRRAS!E434</f>
        <v>0</v>
      </c>
      <c r="E422" s="374"/>
      <c r="F422" s="374"/>
      <c r="G422" s="375">
        <f t="shared" si="12"/>
        <v>0</v>
      </c>
      <c r="H422" s="375">
        <f t="shared" si="13"/>
        <v>0</v>
      </c>
      <c r="I422" s="376">
        <v>0</v>
      </c>
    </row>
    <row r="423" spans="1:9" x14ac:dyDescent="0.25">
      <c r="A423" s="373">
        <v>151</v>
      </c>
      <c r="B423" s="374">
        <f>PRRAS!C435</f>
        <v>422</v>
      </c>
      <c r="C423" s="374">
        <f>PRRAS!D435</f>
        <v>0</v>
      </c>
      <c r="D423" s="374">
        <f>PRRAS!E435</f>
        <v>0</v>
      </c>
      <c r="E423" s="374"/>
      <c r="F423" s="374"/>
      <c r="G423" s="375">
        <f t="shared" si="12"/>
        <v>0</v>
      </c>
      <c r="H423" s="375">
        <f t="shared" si="13"/>
        <v>0</v>
      </c>
      <c r="I423" s="376">
        <v>0</v>
      </c>
    </row>
    <row r="424" spans="1:9" x14ac:dyDescent="0.25">
      <c r="A424" s="373">
        <v>151</v>
      </c>
      <c r="B424" s="374">
        <f>PRRAS!C436</f>
        <v>423</v>
      </c>
      <c r="C424" s="374">
        <f>PRRAS!D436</f>
        <v>0</v>
      </c>
      <c r="D424" s="374">
        <f>PRRAS!E436</f>
        <v>0</v>
      </c>
      <c r="E424" s="374"/>
      <c r="F424" s="374"/>
      <c r="G424" s="375">
        <f t="shared" si="12"/>
        <v>0</v>
      </c>
      <c r="H424" s="375">
        <f t="shared" si="13"/>
        <v>0</v>
      </c>
      <c r="I424" s="376">
        <v>0</v>
      </c>
    </row>
    <row r="425" spans="1:9" x14ac:dyDescent="0.25">
      <c r="A425" s="373">
        <v>151</v>
      </c>
      <c r="B425" s="374">
        <f>PRRAS!C437</f>
        <v>424</v>
      </c>
      <c r="C425" s="374">
        <f>PRRAS!D437</f>
        <v>0</v>
      </c>
      <c r="D425" s="374">
        <f>PRRAS!E437</f>
        <v>0</v>
      </c>
      <c r="E425" s="374"/>
      <c r="F425" s="374"/>
      <c r="G425" s="375">
        <f t="shared" si="12"/>
        <v>0</v>
      </c>
      <c r="H425" s="375">
        <f t="shared" si="13"/>
        <v>0</v>
      </c>
      <c r="I425" s="376">
        <v>0</v>
      </c>
    </row>
    <row r="426" spans="1:9" x14ac:dyDescent="0.25">
      <c r="A426" s="373">
        <v>151</v>
      </c>
      <c r="B426" s="374">
        <f>PRRAS!C438</f>
        <v>425</v>
      </c>
      <c r="C426" s="374">
        <f>PRRAS!D438</f>
        <v>0</v>
      </c>
      <c r="D426" s="374">
        <f>PRRAS!E438</f>
        <v>0</v>
      </c>
      <c r="E426" s="374"/>
      <c r="F426" s="374"/>
      <c r="G426" s="375">
        <f t="shared" si="12"/>
        <v>0</v>
      </c>
      <c r="H426" s="375">
        <f t="shared" si="13"/>
        <v>0</v>
      </c>
      <c r="I426" s="376">
        <v>0</v>
      </c>
    </row>
    <row r="427" spans="1:9" x14ac:dyDescent="0.25">
      <c r="A427" s="373">
        <v>151</v>
      </c>
      <c r="B427" s="374">
        <f>PRRAS!C439</f>
        <v>426</v>
      </c>
      <c r="C427" s="374">
        <f>PRRAS!D439</f>
        <v>0</v>
      </c>
      <c r="D427" s="374">
        <f>PRRAS!E439</f>
        <v>0</v>
      </c>
      <c r="E427" s="374"/>
      <c r="F427" s="374"/>
      <c r="G427" s="375">
        <f t="shared" si="12"/>
        <v>0</v>
      </c>
      <c r="H427" s="375">
        <f t="shared" si="13"/>
        <v>0</v>
      </c>
      <c r="I427" s="376">
        <v>0</v>
      </c>
    </row>
    <row r="428" spans="1:9" x14ac:dyDescent="0.25">
      <c r="A428" s="373">
        <v>151</v>
      </c>
      <c r="B428" s="374">
        <f>PRRAS!C440</f>
        <v>427</v>
      </c>
      <c r="C428" s="374">
        <f>PRRAS!D440</f>
        <v>0</v>
      </c>
      <c r="D428" s="374">
        <f>PRRAS!E440</f>
        <v>0</v>
      </c>
      <c r="E428" s="374"/>
      <c r="F428" s="374"/>
      <c r="G428" s="375">
        <f t="shared" si="12"/>
        <v>0</v>
      </c>
      <c r="H428" s="375">
        <f t="shared" si="13"/>
        <v>0</v>
      </c>
      <c r="I428" s="376">
        <v>0</v>
      </c>
    </row>
    <row r="429" spans="1:9" x14ac:dyDescent="0.25">
      <c r="A429" s="373">
        <v>151</v>
      </c>
      <c r="B429" s="374">
        <f>PRRAS!C441</f>
        <v>428</v>
      </c>
      <c r="C429" s="374">
        <f>PRRAS!D441</f>
        <v>0</v>
      </c>
      <c r="D429" s="374">
        <f>PRRAS!E441</f>
        <v>0</v>
      </c>
      <c r="E429" s="374"/>
      <c r="F429" s="374"/>
      <c r="G429" s="375">
        <f t="shared" si="12"/>
        <v>0</v>
      </c>
      <c r="H429" s="375">
        <f t="shared" si="13"/>
        <v>0</v>
      </c>
      <c r="I429" s="376">
        <v>0</v>
      </c>
    </row>
    <row r="430" spans="1:9" x14ac:dyDescent="0.25">
      <c r="A430" s="373">
        <v>151</v>
      </c>
      <c r="B430" s="374">
        <f>PRRAS!C442</f>
        <v>429</v>
      </c>
      <c r="C430" s="374">
        <f>PRRAS!D442</f>
        <v>0</v>
      </c>
      <c r="D430" s="374">
        <f>PRRAS!E442</f>
        <v>0</v>
      </c>
      <c r="E430" s="374"/>
      <c r="F430" s="374"/>
      <c r="G430" s="375">
        <f t="shared" si="12"/>
        <v>0</v>
      </c>
      <c r="H430" s="375">
        <f t="shared" si="13"/>
        <v>0</v>
      </c>
      <c r="I430" s="376">
        <v>0</v>
      </c>
    </row>
    <row r="431" spans="1:9" x14ac:dyDescent="0.25">
      <c r="A431" s="373">
        <v>151</v>
      </c>
      <c r="B431" s="374">
        <f>PRRAS!C443</f>
        <v>430</v>
      </c>
      <c r="C431" s="374">
        <f>PRRAS!D443</f>
        <v>0</v>
      </c>
      <c r="D431" s="374">
        <f>PRRAS!E443</f>
        <v>0</v>
      </c>
      <c r="E431" s="374"/>
      <c r="F431" s="374"/>
      <c r="G431" s="375">
        <f t="shared" si="12"/>
        <v>0</v>
      </c>
      <c r="H431" s="375">
        <f t="shared" si="13"/>
        <v>0</v>
      </c>
      <c r="I431" s="376">
        <v>0</v>
      </c>
    </row>
    <row r="432" spans="1:9" x14ac:dyDescent="0.25">
      <c r="A432" s="373">
        <v>151</v>
      </c>
      <c r="B432" s="374">
        <f>PRRAS!C444</f>
        <v>431</v>
      </c>
      <c r="C432" s="374">
        <f>PRRAS!D444</f>
        <v>0</v>
      </c>
      <c r="D432" s="374">
        <f>PRRAS!E444</f>
        <v>0</v>
      </c>
      <c r="E432" s="374"/>
      <c r="F432" s="374"/>
      <c r="G432" s="375">
        <f t="shared" si="12"/>
        <v>0</v>
      </c>
      <c r="H432" s="375">
        <f t="shared" si="13"/>
        <v>0</v>
      </c>
      <c r="I432" s="376">
        <v>0</v>
      </c>
    </row>
    <row r="433" spans="1:9" x14ac:dyDescent="0.25">
      <c r="A433" s="373">
        <v>151</v>
      </c>
      <c r="B433" s="374">
        <f>PRRAS!C445</f>
        <v>432</v>
      </c>
      <c r="C433" s="374">
        <f>PRRAS!D445</f>
        <v>0</v>
      </c>
      <c r="D433" s="374">
        <f>PRRAS!E445</f>
        <v>0</v>
      </c>
      <c r="E433" s="374"/>
      <c r="F433" s="374"/>
      <c r="G433" s="375">
        <f t="shared" si="12"/>
        <v>0</v>
      </c>
      <c r="H433" s="375">
        <f t="shared" si="13"/>
        <v>0</v>
      </c>
      <c r="I433" s="376">
        <v>0</v>
      </c>
    </row>
    <row r="434" spans="1:9" x14ac:dyDescent="0.25">
      <c r="A434" s="373">
        <v>151</v>
      </c>
      <c r="B434" s="374">
        <f>PRRAS!C446</f>
        <v>433</v>
      </c>
      <c r="C434" s="374">
        <f>PRRAS!D446</f>
        <v>0</v>
      </c>
      <c r="D434" s="374">
        <f>PRRAS!E446</f>
        <v>0</v>
      </c>
      <c r="E434" s="374"/>
      <c r="F434" s="374"/>
      <c r="G434" s="375">
        <f t="shared" si="12"/>
        <v>0</v>
      </c>
      <c r="H434" s="375">
        <f t="shared" si="13"/>
        <v>0</v>
      </c>
      <c r="I434" s="376">
        <v>0</v>
      </c>
    </row>
    <row r="435" spans="1:9" x14ac:dyDescent="0.25">
      <c r="A435" s="373">
        <v>151</v>
      </c>
      <c r="B435" s="374">
        <f>PRRAS!C447</f>
        <v>434</v>
      </c>
      <c r="C435" s="374">
        <f>PRRAS!D447</f>
        <v>0</v>
      </c>
      <c r="D435" s="374">
        <f>PRRAS!E447</f>
        <v>0</v>
      </c>
      <c r="E435" s="374"/>
      <c r="F435" s="374"/>
      <c r="G435" s="375">
        <f t="shared" si="12"/>
        <v>0</v>
      </c>
      <c r="H435" s="375">
        <f t="shared" si="13"/>
        <v>0</v>
      </c>
      <c r="I435" s="376">
        <v>0</v>
      </c>
    </row>
    <row r="436" spans="1:9" x14ac:dyDescent="0.25">
      <c r="A436" s="373">
        <v>151</v>
      </c>
      <c r="B436" s="374">
        <f>PRRAS!C448</f>
        <v>435</v>
      </c>
      <c r="C436" s="374">
        <f>PRRAS!D448</f>
        <v>0</v>
      </c>
      <c r="D436" s="374">
        <f>PRRAS!E448</f>
        <v>0</v>
      </c>
      <c r="E436" s="374"/>
      <c r="F436" s="374"/>
      <c r="G436" s="375">
        <f t="shared" si="12"/>
        <v>0</v>
      </c>
      <c r="H436" s="375">
        <f t="shared" si="13"/>
        <v>0</v>
      </c>
      <c r="I436" s="376">
        <v>0</v>
      </c>
    </row>
    <row r="437" spans="1:9" x14ac:dyDescent="0.25">
      <c r="A437" s="373">
        <v>151</v>
      </c>
      <c r="B437" s="374">
        <f>PRRAS!C449</f>
        <v>436</v>
      </c>
      <c r="C437" s="374">
        <f>PRRAS!D449</f>
        <v>0</v>
      </c>
      <c r="D437" s="374">
        <f>PRRAS!E449</f>
        <v>0</v>
      </c>
      <c r="E437" s="374"/>
      <c r="F437" s="374"/>
      <c r="G437" s="375">
        <f t="shared" si="12"/>
        <v>0</v>
      </c>
      <c r="H437" s="375">
        <f t="shared" si="13"/>
        <v>0</v>
      </c>
      <c r="I437" s="376">
        <v>0</v>
      </c>
    </row>
    <row r="438" spans="1:9" x14ac:dyDescent="0.25">
      <c r="A438" s="373">
        <v>151</v>
      </c>
      <c r="B438" s="374">
        <f>PRRAS!C450</f>
        <v>437</v>
      </c>
      <c r="C438" s="374">
        <f>PRRAS!D450</f>
        <v>0</v>
      </c>
      <c r="D438" s="374">
        <f>PRRAS!E450</f>
        <v>0</v>
      </c>
      <c r="E438" s="374"/>
      <c r="F438" s="374"/>
      <c r="G438" s="375">
        <f t="shared" si="12"/>
        <v>0</v>
      </c>
      <c r="H438" s="375">
        <f t="shared" si="13"/>
        <v>0</v>
      </c>
      <c r="I438" s="376">
        <v>0</v>
      </c>
    </row>
    <row r="439" spans="1:9" x14ac:dyDescent="0.25">
      <c r="A439" s="373">
        <v>151</v>
      </c>
      <c r="B439" s="374">
        <f>PRRAS!C451</f>
        <v>438</v>
      </c>
      <c r="C439" s="374">
        <f>PRRAS!D451</f>
        <v>0</v>
      </c>
      <c r="D439" s="374">
        <f>PRRAS!E451</f>
        <v>0</v>
      </c>
      <c r="E439" s="374"/>
      <c r="F439" s="374"/>
      <c r="G439" s="375">
        <f t="shared" si="12"/>
        <v>0</v>
      </c>
      <c r="H439" s="375">
        <f t="shared" si="13"/>
        <v>0</v>
      </c>
      <c r="I439" s="376">
        <v>0</v>
      </c>
    </row>
    <row r="440" spans="1:9" x14ac:dyDescent="0.25">
      <c r="A440" s="373">
        <v>151</v>
      </c>
      <c r="B440" s="374">
        <f>PRRAS!C452</f>
        <v>439</v>
      </c>
      <c r="C440" s="374">
        <f>PRRAS!D452</f>
        <v>0</v>
      </c>
      <c r="D440" s="374">
        <f>PRRAS!E452</f>
        <v>0</v>
      </c>
      <c r="E440" s="374"/>
      <c r="F440" s="374"/>
      <c r="G440" s="375">
        <f t="shared" si="12"/>
        <v>0</v>
      </c>
      <c r="H440" s="375">
        <f t="shared" si="13"/>
        <v>0</v>
      </c>
      <c r="I440" s="376">
        <v>0</v>
      </c>
    </row>
    <row r="441" spans="1:9" x14ac:dyDescent="0.25">
      <c r="A441" s="373">
        <v>151</v>
      </c>
      <c r="B441" s="374">
        <f>PRRAS!C453</f>
        <v>440</v>
      </c>
      <c r="C441" s="374">
        <f>PRRAS!D453</f>
        <v>0</v>
      </c>
      <c r="D441" s="374">
        <f>PRRAS!E453</f>
        <v>0</v>
      </c>
      <c r="E441" s="374"/>
      <c r="F441" s="374"/>
      <c r="G441" s="375">
        <f t="shared" si="12"/>
        <v>0</v>
      </c>
      <c r="H441" s="375">
        <f t="shared" si="13"/>
        <v>0</v>
      </c>
      <c r="I441" s="376">
        <v>0</v>
      </c>
    </row>
    <row r="442" spans="1:9" x14ac:dyDescent="0.25">
      <c r="A442" s="373">
        <v>151</v>
      </c>
      <c r="B442" s="374">
        <f>PRRAS!C454</f>
        <v>441</v>
      </c>
      <c r="C442" s="374">
        <f>PRRAS!D454</f>
        <v>0</v>
      </c>
      <c r="D442" s="374">
        <f>PRRAS!E454</f>
        <v>0</v>
      </c>
      <c r="E442" s="374"/>
      <c r="F442" s="374"/>
      <c r="G442" s="375">
        <f t="shared" si="12"/>
        <v>0</v>
      </c>
      <c r="H442" s="375">
        <f t="shared" si="13"/>
        <v>0</v>
      </c>
      <c r="I442" s="376">
        <v>0</v>
      </c>
    </row>
    <row r="443" spans="1:9" x14ac:dyDescent="0.25">
      <c r="A443" s="373">
        <v>151</v>
      </c>
      <c r="B443" s="374">
        <f>PRRAS!C455</f>
        <v>442</v>
      </c>
      <c r="C443" s="374">
        <f>PRRAS!D455</f>
        <v>0</v>
      </c>
      <c r="D443" s="374">
        <f>PRRAS!E455</f>
        <v>0</v>
      </c>
      <c r="E443" s="374"/>
      <c r="F443" s="374"/>
      <c r="G443" s="375">
        <f t="shared" si="12"/>
        <v>0</v>
      </c>
      <c r="H443" s="375">
        <f t="shared" si="13"/>
        <v>0</v>
      </c>
      <c r="I443" s="376">
        <v>0</v>
      </c>
    </row>
    <row r="444" spans="1:9" x14ac:dyDescent="0.25">
      <c r="A444" s="373">
        <v>151</v>
      </c>
      <c r="B444" s="374">
        <f>PRRAS!C456</f>
        <v>443</v>
      </c>
      <c r="C444" s="374">
        <f>PRRAS!D456</f>
        <v>0</v>
      </c>
      <c r="D444" s="374">
        <f>PRRAS!E456</f>
        <v>0</v>
      </c>
      <c r="E444" s="374"/>
      <c r="F444" s="374"/>
      <c r="G444" s="375">
        <f t="shared" si="12"/>
        <v>0</v>
      </c>
      <c r="H444" s="375">
        <f t="shared" si="13"/>
        <v>0</v>
      </c>
      <c r="I444" s="376">
        <v>0</v>
      </c>
    </row>
    <row r="445" spans="1:9" x14ac:dyDescent="0.25">
      <c r="A445" s="373">
        <v>151</v>
      </c>
      <c r="B445" s="374">
        <f>PRRAS!C457</f>
        <v>444</v>
      </c>
      <c r="C445" s="374">
        <f>PRRAS!D457</f>
        <v>0</v>
      </c>
      <c r="D445" s="374">
        <f>PRRAS!E457</f>
        <v>0</v>
      </c>
      <c r="E445" s="374"/>
      <c r="F445" s="374"/>
      <c r="G445" s="375">
        <f t="shared" si="12"/>
        <v>0</v>
      </c>
      <c r="H445" s="375">
        <f t="shared" si="13"/>
        <v>0</v>
      </c>
      <c r="I445" s="376">
        <v>0</v>
      </c>
    </row>
    <row r="446" spans="1:9" x14ac:dyDescent="0.25">
      <c r="A446" s="373">
        <v>151</v>
      </c>
      <c r="B446" s="374">
        <f>PRRAS!C458</f>
        <v>445</v>
      </c>
      <c r="C446" s="374">
        <f>PRRAS!D458</f>
        <v>0</v>
      </c>
      <c r="D446" s="374">
        <f>PRRAS!E458</f>
        <v>0</v>
      </c>
      <c r="E446" s="374"/>
      <c r="F446" s="374"/>
      <c r="G446" s="375">
        <f t="shared" si="12"/>
        <v>0</v>
      </c>
      <c r="H446" s="375">
        <f t="shared" si="13"/>
        <v>0</v>
      </c>
      <c r="I446" s="376">
        <v>0</v>
      </c>
    </row>
    <row r="447" spans="1:9" x14ac:dyDescent="0.25">
      <c r="A447" s="373">
        <v>151</v>
      </c>
      <c r="B447" s="374">
        <f>PRRAS!C459</f>
        <v>446</v>
      </c>
      <c r="C447" s="374">
        <f>PRRAS!D459</f>
        <v>0</v>
      </c>
      <c r="D447" s="374">
        <f>PRRAS!E459</f>
        <v>0</v>
      </c>
      <c r="E447" s="374"/>
      <c r="F447" s="374"/>
      <c r="G447" s="375">
        <f t="shared" si="12"/>
        <v>0</v>
      </c>
      <c r="H447" s="375">
        <f t="shared" si="13"/>
        <v>0</v>
      </c>
      <c r="I447" s="376">
        <v>0</v>
      </c>
    </row>
    <row r="448" spans="1:9" x14ac:dyDescent="0.25">
      <c r="A448" s="373">
        <v>151</v>
      </c>
      <c r="B448" s="374">
        <f>PRRAS!C460</f>
        <v>447</v>
      </c>
      <c r="C448" s="374">
        <f>PRRAS!D460</f>
        <v>0</v>
      </c>
      <c r="D448" s="374">
        <f>PRRAS!E460</f>
        <v>0</v>
      </c>
      <c r="E448" s="374"/>
      <c r="F448" s="374"/>
      <c r="G448" s="375">
        <f t="shared" si="12"/>
        <v>0</v>
      </c>
      <c r="H448" s="375">
        <f t="shared" si="13"/>
        <v>0</v>
      </c>
      <c r="I448" s="376">
        <v>0</v>
      </c>
    </row>
    <row r="449" spans="1:9" x14ac:dyDescent="0.25">
      <c r="A449" s="373">
        <v>151</v>
      </c>
      <c r="B449" s="374">
        <f>PRRAS!C461</f>
        <v>448</v>
      </c>
      <c r="C449" s="374">
        <f>PRRAS!D461</f>
        <v>0</v>
      </c>
      <c r="D449" s="374">
        <f>PRRAS!E461</f>
        <v>0</v>
      </c>
      <c r="E449" s="374"/>
      <c r="F449" s="374"/>
      <c r="G449" s="375">
        <f t="shared" si="12"/>
        <v>0</v>
      </c>
      <c r="H449" s="375">
        <f t="shared" si="13"/>
        <v>0</v>
      </c>
      <c r="I449" s="376">
        <v>0</v>
      </c>
    </row>
    <row r="450" spans="1:9" x14ac:dyDescent="0.25">
      <c r="A450" s="373">
        <v>151</v>
      </c>
      <c r="B450" s="374">
        <f>PRRAS!C462</f>
        <v>449</v>
      </c>
      <c r="C450" s="374">
        <f>PRRAS!D462</f>
        <v>0</v>
      </c>
      <c r="D450" s="374">
        <f>PRRAS!E462</f>
        <v>0</v>
      </c>
      <c r="E450" s="374"/>
      <c r="F450" s="374"/>
      <c r="G450" s="375">
        <f t="shared" si="12"/>
        <v>0</v>
      </c>
      <c r="H450" s="375">
        <f t="shared" si="13"/>
        <v>0</v>
      </c>
      <c r="I450" s="376">
        <v>0</v>
      </c>
    </row>
    <row r="451" spans="1:9" x14ac:dyDescent="0.25">
      <c r="A451" s="373">
        <v>151</v>
      </c>
      <c r="B451" s="374">
        <f>PRRAS!C463</f>
        <v>450</v>
      </c>
      <c r="C451" s="374">
        <f>PRRAS!D463</f>
        <v>0</v>
      </c>
      <c r="D451" s="374">
        <f>PRRAS!E463</f>
        <v>0</v>
      </c>
      <c r="E451" s="374"/>
      <c r="F451" s="374"/>
      <c r="G451" s="375">
        <f t="shared" ref="G451:G514" si="14">(B451/1000)*(C451*1+D451*2)</f>
        <v>0</v>
      </c>
      <c r="H451" s="375">
        <f t="shared" ref="H451:H514" si="15">ABS(C451-ROUND(C451,0))+ABS(D451-ROUND(D451,0))</f>
        <v>0</v>
      </c>
      <c r="I451" s="376">
        <v>0</v>
      </c>
    </row>
    <row r="452" spans="1:9" x14ac:dyDescent="0.25">
      <c r="A452" s="373">
        <v>151</v>
      </c>
      <c r="B452" s="374">
        <f>PRRAS!C464</f>
        <v>451</v>
      </c>
      <c r="C452" s="374">
        <f>PRRAS!D464</f>
        <v>0</v>
      </c>
      <c r="D452" s="374">
        <f>PRRAS!E464</f>
        <v>0</v>
      </c>
      <c r="E452" s="374"/>
      <c r="F452" s="374"/>
      <c r="G452" s="375">
        <f t="shared" si="14"/>
        <v>0</v>
      </c>
      <c r="H452" s="375">
        <f t="shared" si="15"/>
        <v>0</v>
      </c>
      <c r="I452" s="376">
        <v>0</v>
      </c>
    </row>
    <row r="453" spans="1:9" x14ac:dyDescent="0.25">
      <c r="A453" s="373">
        <v>151</v>
      </c>
      <c r="B453" s="374">
        <f>PRRAS!C465</f>
        <v>452</v>
      </c>
      <c r="C453" s="374">
        <f>PRRAS!D465</f>
        <v>0</v>
      </c>
      <c r="D453" s="374">
        <f>PRRAS!E465</f>
        <v>0</v>
      </c>
      <c r="E453" s="374"/>
      <c r="F453" s="374"/>
      <c r="G453" s="375">
        <f t="shared" si="14"/>
        <v>0</v>
      </c>
      <c r="H453" s="375">
        <f t="shared" si="15"/>
        <v>0</v>
      </c>
      <c r="I453" s="376">
        <v>0</v>
      </c>
    </row>
    <row r="454" spans="1:9" x14ac:dyDescent="0.25">
      <c r="A454" s="373">
        <v>151</v>
      </c>
      <c r="B454" s="374">
        <f>PRRAS!C466</f>
        <v>453</v>
      </c>
      <c r="C454" s="374">
        <f>PRRAS!D466</f>
        <v>0</v>
      </c>
      <c r="D454" s="374">
        <f>PRRAS!E466</f>
        <v>0</v>
      </c>
      <c r="E454" s="374"/>
      <c r="F454" s="374"/>
      <c r="G454" s="375">
        <f t="shared" si="14"/>
        <v>0</v>
      </c>
      <c r="H454" s="375">
        <f t="shared" si="15"/>
        <v>0</v>
      </c>
      <c r="I454" s="376">
        <v>0</v>
      </c>
    </row>
    <row r="455" spans="1:9" x14ac:dyDescent="0.25">
      <c r="A455" s="373">
        <v>151</v>
      </c>
      <c r="B455" s="374">
        <f>PRRAS!C467</f>
        <v>454</v>
      </c>
      <c r="C455" s="374">
        <f>PRRAS!D467</f>
        <v>0</v>
      </c>
      <c r="D455" s="374">
        <f>PRRAS!E467</f>
        <v>0</v>
      </c>
      <c r="E455" s="374"/>
      <c r="F455" s="374"/>
      <c r="G455" s="375">
        <f t="shared" si="14"/>
        <v>0</v>
      </c>
      <c r="H455" s="375">
        <f t="shared" si="15"/>
        <v>0</v>
      </c>
      <c r="I455" s="376">
        <v>0</v>
      </c>
    </row>
    <row r="456" spans="1:9" x14ac:dyDescent="0.25">
      <c r="A456" s="373">
        <v>151</v>
      </c>
      <c r="B456" s="374">
        <f>PRRAS!C468</f>
        <v>455</v>
      </c>
      <c r="C456" s="374">
        <f>PRRAS!D468</f>
        <v>0</v>
      </c>
      <c r="D456" s="374">
        <f>PRRAS!E468</f>
        <v>0</v>
      </c>
      <c r="E456" s="374"/>
      <c r="F456" s="374"/>
      <c r="G456" s="375">
        <f t="shared" si="14"/>
        <v>0</v>
      </c>
      <c r="H456" s="375">
        <f t="shared" si="15"/>
        <v>0</v>
      </c>
      <c r="I456" s="376">
        <v>0</v>
      </c>
    </row>
    <row r="457" spans="1:9" x14ac:dyDescent="0.25">
      <c r="A457" s="373">
        <v>151</v>
      </c>
      <c r="B457" s="374">
        <f>PRRAS!C469</f>
        <v>456</v>
      </c>
      <c r="C457" s="374">
        <f>PRRAS!D469</f>
        <v>0</v>
      </c>
      <c r="D457" s="374">
        <f>PRRAS!E469</f>
        <v>0</v>
      </c>
      <c r="E457" s="374"/>
      <c r="F457" s="374"/>
      <c r="G457" s="375">
        <f t="shared" si="14"/>
        <v>0</v>
      </c>
      <c r="H457" s="375">
        <f t="shared" si="15"/>
        <v>0</v>
      </c>
      <c r="I457" s="376">
        <v>0</v>
      </c>
    </row>
    <row r="458" spans="1:9" x14ac:dyDescent="0.25">
      <c r="A458" s="373">
        <v>151</v>
      </c>
      <c r="B458" s="374">
        <f>PRRAS!C470</f>
        <v>457</v>
      </c>
      <c r="C458" s="374">
        <f>PRRAS!D470</f>
        <v>0</v>
      </c>
      <c r="D458" s="374">
        <f>PRRAS!E470</f>
        <v>0</v>
      </c>
      <c r="E458" s="374"/>
      <c r="F458" s="374"/>
      <c r="G458" s="375">
        <f t="shared" si="14"/>
        <v>0</v>
      </c>
      <c r="H458" s="375">
        <f t="shared" si="15"/>
        <v>0</v>
      </c>
      <c r="I458" s="376">
        <v>0</v>
      </c>
    </row>
    <row r="459" spans="1:9" x14ac:dyDescent="0.25">
      <c r="A459" s="373">
        <v>151</v>
      </c>
      <c r="B459" s="374">
        <f>PRRAS!C471</f>
        <v>458</v>
      </c>
      <c r="C459" s="374">
        <f>PRRAS!D471</f>
        <v>0</v>
      </c>
      <c r="D459" s="374">
        <f>PRRAS!E471</f>
        <v>0</v>
      </c>
      <c r="E459" s="374"/>
      <c r="F459" s="374"/>
      <c r="G459" s="375">
        <f t="shared" si="14"/>
        <v>0</v>
      </c>
      <c r="H459" s="375">
        <f t="shared" si="15"/>
        <v>0</v>
      </c>
      <c r="I459" s="376">
        <v>0</v>
      </c>
    </row>
    <row r="460" spans="1:9" x14ac:dyDescent="0.25">
      <c r="A460" s="373">
        <v>151</v>
      </c>
      <c r="B460" s="374">
        <f>PRRAS!C472</f>
        <v>459</v>
      </c>
      <c r="C460" s="374">
        <f>PRRAS!D472</f>
        <v>0</v>
      </c>
      <c r="D460" s="374">
        <f>PRRAS!E472</f>
        <v>0</v>
      </c>
      <c r="E460" s="374"/>
      <c r="F460" s="374"/>
      <c r="G460" s="375">
        <f t="shared" si="14"/>
        <v>0</v>
      </c>
      <c r="H460" s="375">
        <f t="shared" si="15"/>
        <v>0</v>
      </c>
      <c r="I460" s="376">
        <v>0</v>
      </c>
    </row>
    <row r="461" spans="1:9" x14ac:dyDescent="0.25">
      <c r="A461" s="373">
        <v>151</v>
      </c>
      <c r="B461" s="374">
        <f>PRRAS!C473</f>
        <v>460</v>
      </c>
      <c r="C461" s="374">
        <f>PRRAS!D473</f>
        <v>0</v>
      </c>
      <c r="D461" s="374">
        <f>PRRAS!E473</f>
        <v>0</v>
      </c>
      <c r="E461" s="374"/>
      <c r="F461" s="374"/>
      <c r="G461" s="375">
        <f t="shared" si="14"/>
        <v>0</v>
      </c>
      <c r="H461" s="375">
        <f t="shared" si="15"/>
        <v>0</v>
      </c>
      <c r="I461" s="376">
        <v>0</v>
      </c>
    </row>
    <row r="462" spans="1:9" x14ac:dyDescent="0.25">
      <c r="A462" s="373">
        <v>151</v>
      </c>
      <c r="B462" s="374">
        <f>PRRAS!C474</f>
        <v>461</v>
      </c>
      <c r="C462" s="374">
        <f>PRRAS!D474</f>
        <v>0</v>
      </c>
      <c r="D462" s="374">
        <f>PRRAS!E474</f>
        <v>0</v>
      </c>
      <c r="E462" s="374"/>
      <c r="F462" s="374"/>
      <c r="G462" s="375">
        <f t="shared" si="14"/>
        <v>0</v>
      </c>
      <c r="H462" s="375">
        <f t="shared" si="15"/>
        <v>0</v>
      </c>
      <c r="I462" s="376">
        <v>0</v>
      </c>
    </row>
    <row r="463" spans="1:9" x14ac:dyDescent="0.25">
      <c r="A463" s="373">
        <v>151</v>
      </c>
      <c r="B463" s="374">
        <f>PRRAS!C475</f>
        <v>462</v>
      </c>
      <c r="C463" s="374">
        <f>PRRAS!D475</f>
        <v>0</v>
      </c>
      <c r="D463" s="374">
        <f>PRRAS!E475</f>
        <v>0</v>
      </c>
      <c r="E463" s="374"/>
      <c r="F463" s="374"/>
      <c r="G463" s="375">
        <f t="shared" si="14"/>
        <v>0</v>
      </c>
      <c r="H463" s="375">
        <f t="shared" si="15"/>
        <v>0</v>
      </c>
      <c r="I463" s="376">
        <v>0</v>
      </c>
    </row>
    <row r="464" spans="1:9" x14ac:dyDescent="0.25">
      <c r="A464" s="373">
        <v>151</v>
      </c>
      <c r="B464" s="374">
        <f>PRRAS!C476</f>
        <v>463</v>
      </c>
      <c r="C464" s="374">
        <f>PRRAS!D476</f>
        <v>0</v>
      </c>
      <c r="D464" s="374">
        <f>PRRAS!E476</f>
        <v>0</v>
      </c>
      <c r="E464" s="374"/>
      <c r="F464" s="374"/>
      <c r="G464" s="375">
        <f t="shared" si="14"/>
        <v>0</v>
      </c>
      <c r="H464" s="375">
        <f t="shared" si="15"/>
        <v>0</v>
      </c>
      <c r="I464" s="376">
        <v>0</v>
      </c>
    </row>
    <row r="465" spans="1:9" x14ac:dyDescent="0.25">
      <c r="A465" s="373">
        <v>151</v>
      </c>
      <c r="B465" s="374">
        <f>PRRAS!C477</f>
        <v>464</v>
      </c>
      <c r="C465" s="374">
        <f>PRRAS!D477</f>
        <v>0</v>
      </c>
      <c r="D465" s="374">
        <f>PRRAS!E477</f>
        <v>0</v>
      </c>
      <c r="E465" s="374"/>
      <c r="F465" s="374"/>
      <c r="G465" s="375">
        <f t="shared" si="14"/>
        <v>0</v>
      </c>
      <c r="H465" s="375">
        <f t="shared" si="15"/>
        <v>0</v>
      </c>
      <c r="I465" s="376">
        <v>0</v>
      </c>
    </row>
    <row r="466" spans="1:9" x14ac:dyDescent="0.25">
      <c r="A466" s="373">
        <v>151</v>
      </c>
      <c r="B466" s="374">
        <f>PRRAS!C478</f>
        <v>465</v>
      </c>
      <c r="C466" s="374">
        <f>PRRAS!D478</f>
        <v>0</v>
      </c>
      <c r="D466" s="374">
        <f>PRRAS!E478</f>
        <v>0</v>
      </c>
      <c r="E466" s="374"/>
      <c r="F466" s="374"/>
      <c r="G466" s="375">
        <f t="shared" si="14"/>
        <v>0</v>
      </c>
      <c r="H466" s="375">
        <f t="shared" si="15"/>
        <v>0</v>
      </c>
      <c r="I466" s="376">
        <v>0</v>
      </c>
    </row>
    <row r="467" spans="1:9" x14ac:dyDescent="0.25">
      <c r="A467" s="373">
        <v>151</v>
      </c>
      <c r="B467" s="374">
        <f>PRRAS!C479</f>
        <v>466</v>
      </c>
      <c r="C467" s="374">
        <f>PRRAS!D479</f>
        <v>0</v>
      </c>
      <c r="D467" s="374">
        <f>PRRAS!E479</f>
        <v>0</v>
      </c>
      <c r="E467" s="374"/>
      <c r="F467" s="374"/>
      <c r="G467" s="375">
        <f t="shared" si="14"/>
        <v>0</v>
      </c>
      <c r="H467" s="375">
        <f t="shared" si="15"/>
        <v>0</v>
      </c>
      <c r="I467" s="376">
        <v>0</v>
      </c>
    </row>
    <row r="468" spans="1:9" x14ac:dyDescent="0.25">
      <c r="A468" s="373">
        <v>151</v>
      </c>
      <c r="B468" s="374">
        <f>PRRAS!C480</f>
        <v>467</v>
      </c>
      <c r="C468" s="374">
        <f>PRRAS!D480</f>
        <v>0</v>
      </c>
      <c r="D468" s="374">
        <f>PRRAS!E480</f>
        <v>0</v>
      </c>
      <c r="E468" s="374"/>
      <c r="F468" s="374"/>
      <c r="G468" s="375">
        <f t="shared" si="14"/>
        <v>0</v>
      </c>
      <c r="H468" s="375">
        <f t="shared" si="15"/>
        <v>0</v>
      </c>
      <c r="I468" s="376">
        <v>0</v>
      </c>
    </row>
    <row r="469" spans="1:9" x14ac:dyDescent="0.25">
      <c r="A469" s="373">
        <v>151</v>
      </c>
      <c r="B469" s="374">
        <f>PRRAS!C481</f>
        <v>468</v>
      </c>
      <c r="C469" s="374">
        <f>PRRAS!D481</f>
        <v>0</v>
      </c>
      <c r="D469" s="374">
        <f>PRRAS!E481</f>
        <v>0</v>
      </c>
      <c r="E469" s="374"/>
      <c r="F469" s="374"/>
      <c r="G469" s="375">
        <f t="shared" si="14"/>
        <v>0</v>
      </c>
      <c r="H469" s="375">
        <f t="shared" si="15"/>
        <v>0</v>
      </c>
      <c r="I469" s="376">
        <v>0</v>
      </c>
    </row>
    <row r="470" spans="1:9" x14ac:dyDescent="0.25">
      <c r="A470" s="373">
        <v>151</v>
      </c>
      <c r="B470" s="374">
        <f>PRRAS!C482</f>
        <v>469</v>
      </c>
      <c r="C470" s="374">
        <f>PRRAS!D482</f>
        <v>0</v>
      </c>
      <c r="D470" s="374">
        <f>PRRAS!E482</f>
        <v>0</v>
      </c>
      <c r="E470" s="374"/>
      <c r="F470" s="374"/>
      <c r="G470" s="375">
        <f t="shared" si="14"/>
        <v>0</v>
      </c>
      <c r="H470" s="375">
        <f t="shared" si="15"/>
        <v>0</v>
      </c>
      <c r="I470" s="376">
        <v>0</v>
      </c>
    </row>
    <row r="471" spans="1:9" x14ac:dyDescent="0.25">
      <c r="A471" s="373">
        <v>151</v>
      </c>
      <c r="B471" s="374">
        <f>PRRAS!C483</f>
        <v>470</v>
      </c>
      <c r="C471" s="374">
        <f>PRRAS!D483</f>
        <v>0</v>
      </c>
      <c r="D471" s="374">
        <f>PRRAS!E483</f>
        <v>0</v>
      </c>
      <c r="E471" s="374"/>
      <c r="F471" s="374"/>
      <c r="G471" s="375">
        <f t="shared" si="14"/>
        <v>0</v>
      </c>
      <c r="H471" s="375">
        <f t="shared" si="15"/>
        <v>0</v>
      </c>
      <c r="I471" s="376">
        <v>0</v>
      </c>
    </row>
    <row r="472" spans="1:9" x14ac:dyDescent="0.25">
      <c r="A472" s="373">
        <v>151</v>
      </c>
      <c r="B472" s="374">
        <f>PRRAS!C484</f>
        <v>471</v>
      </c>
      <c r="C472" s="374">
        <f>PRRAS!D484</f>
        <v>0</v>
      </c>
      <c r="D472" s="374">
        <f>PRRAS!E484</f>
        <v>0</v>
      </c>
      <c r="E472" s="374"/>
      <c r="F472" s="374"/>
      <c r="G472" s="375">
        <f t="shared" si="14"/>
        <v>0</v>
      </c>
      <c r="H472" s="375">
        <f t="shared" si="15"/>
        <v>0</v>
      </c>
      <c r="I472" s="376">
        <v>0</v>
      </c>
    </row>
    <row r="473" spans="1:9" x14ac:dyDescent="0.25">
      <c r="A473" s="373">
        <v>151</v>
      </c>
      <c r="B473" s="374">
        <f>PRRAS!C485</f>
        <v>472</v>
      </c>
      <c r="C473" s="374">
        <f>PRRAS!D485</f>
        <v>0</v>
      </c>
      <c r="D473" s="374">
        <f>PRRAS!E485</f>
        <v>0</v>
      </c>
      <c r="E473" s="374"/>
      <c r="F473" s="374"/>
      <c r="G473" s="375">
        <f t="shared" si="14"/>
        <v>0</v>
      </c>
      <c r="H473" s="375">
        <f t="shared" si="15"/>
        <v>0</v>
      </c>
      <c r="I473" s="376">
        <v>0</v>
      </c>
    </row>
    <row r="474" spans="1:9" x14ac:dyDescent="0.25">
      <c r="A474" s="373">
        <v>151</v>
      </c>
      <c r="B474" s="374">
        <f>PRRAS!C486</f>
        <v>473</v>
      </c>
      <c r="C474" s="374">
        <f>PRRAS!D486</f>
        <v>0</v>
      </c>
      <c r="D474" s="374">
        <f>PRRAS!E486</f>
        <v>0</v>
      </c>
      <c r="E474" s="374"/>
      <c r="F474" s="374"/>
      <c r="G474" s="375">
        <f t="shared" si="14"/>
        <v>0</v>
      </c>
      <c r="H474" s="375">
        <f t="shared" si="15"/>
        <v>0</v>
      </c>
      <c r="I474" s="376">
        <v>0</v>
      </c>
    </row>
    <row r="475" spans="1:9" x14ac:dyDescent="0.25">
      <c r="A475" s="373">
        <v>151</v>
      </c>
      <c r="B475" s="374">
        <f>PRRAS!C487</f>
        <v>474</v>
      </c>
      <c r="C475" s="374">
        <f>PRRAS!D487</f>
        <v>0</v>
      </c>
      <c r="D475" s="374">
        <f>PRRAS!E487</f>
        <v>0</v>
      </c>
      <c r="E475" s="374"/>
      <c r="F475" s="374"/>
      <c r="G475" s="375">
        <f t="shared" si="14"/>
        <v>0</v>
      </c>
      <c r="H475" s="375">
        <f t="shared" si="15"/>
        <v>0</v>
      </c>
      <c r="I475" s="376">
        <v>0</v>
      </c>
    </row>
    <row r="476" spans="1:9" x14ac:dyDescent="0.25">
      <c r="A476" s="373">
        <v>151</v>
      </c>
      <c r="B476" s="374">
        <f>PRRAS!C488</f>
        <v>475</v>
      </c>
      <c r="C476" s="374">
        <f>PRRAS!D488</f>
        <v>0</v>
      </c>
      <c r="D476" s="374">
        <f>PRRAS!E488</f>
        <v>0</v>
      </c>
      <c r="E476" s="374"/>
      <c r="F476" s="374"/>
      <c r="G476" s="375">
        <f t="shared" si="14"/>
        <v>0</v>
      </c>
      <c r="H476" s="375">
        <f t="shared" si="15"/>
        <v>0</v>
      </c>
      <c r="I476" s="376">
        <v>0</v>
      </c>
    </row>
    <row r="477" spans="1:9" x14ac:dyDescent="0.25">
      <c r="A477" s="373">
        <v>151</v>
      </c>
      <c r="B477" s="374">
        <f>PRRAS!C489</f>
        <v>476</v>
      </c>
      <c r="C477" s="374">
        <f>PRRAS!D489</f>
        <v>0</v>
      </c>
      <c r="D477" s="374">
        <f>PRRAS!E489</f>
        <v>0</v>
      </c>
      <c r="E477" s="374"/>
      <c r="F477" s="374"/>
      <c r="G477" s="375">
        <f t="shared" si="14"/>
        <v>0</v>
      </c>
      <c r="H477" s="375">
        <f t="shared" si="15"/>
        <v>0</v>
      </c>
      <c r="I477" s="376">
        <v>0</v>
      </c>
    </row>
    <row r="478" spans="1:9" x14ac:dyDescent="0.25">
      <c r="A478" s="373">
        <v>151</v>
      </c>
      <c r="B478" s="374">
        <f>PRRAS!C490</f>
        <v>477</v>
      </c>
      <c r="C478" s="374">
        <f>PRRAS!D490</f>
        <v>0</v>
      </c>
      <c r="D478" s="374">
        <f>PRRAS!E490</f>
        <v>0</v>
      </c>
      <c r="E478" s="374"/>
      <c r="F478" s="374"/>
      <c r="G478" s="375">
        <f t="shared" si="14"/>
        <v>0</v>
      </c>
      <c r="H478" s="375">
        <f t="shared" si="15"/>
        <v>0</v>
      </c>
      <c r="I478" s="376">
        <v>0</v>
      </c>
    </row>
    <row r="479" spans="1:9" x14ac:dyDescent="0.25">
      <c r="A479" s="373">
        <v>151</v>
      </c>
      <c r="B479" s="374">
        <f>PRRAS!C491</f>
        <v>478</v>
      </c>
      <c r="C479" s="374">
        <f>PRRAS!D491</f>
        <v>0</v>
      </c>
      <c r="D479" s="374">
        <f>PRRAS!E491</f>
        <v>0</v>
      </c>
      <c r="E479" s="374"/>
      <c r="F479" s="374"/>
      <c r="G479" s="375">
        <f t="shared" si="14"/>
        <v>0</v>
      </c>
      <c r="H479" s="375">
        <f t="shared" si="15"/>
        <v>0</v>
      </c>
      <c r="I479" s="376">
        <v>0</v>
      </c>
    </row>
    <row r="480" spans="1:9" x14ac:dyDescent="0.25">
      <c r="A480" s="373">
        <v>151</v>
      </c>
      <c r="B480" s="374">
        <f>PRRAS!C492</f>
        <v>479</v>
      </c>
      <c r="C480" s="374">
        <f>PRRAS!D492</f>
        <v>0</v>
      </c>
      <c r="D480" s="374">
        <f>PRRAS!E492</f>
        <v>0</v>
      </c>
      <c r="E480" s="374"/>
      <c r="F480" s="374"/>
      <c r="G480" s="375">
        <f t="shared" si="14"/>
        <v>0</v>
      </c>
      <c r="H480" s="375">
        <f t="shared" si="15"/>
        <v>0</v>
      </c>
      <c r="I480" s="376">
        <v>0</v>
      </c>
    </row>
    <row r="481" spans="1:9" x14ac:dyDescent="0.25">
      <c r="A481" s="373">
        <v>151</v>
      </c>
      <c r="B481" s="374">
        <f>PRRAS!C493</f>
        <v>480</v>
      </c>
      <c r="C481" s="374">
        <f>PRRAS!D493</f>
        <v>0</v>
      </c>
      <c r="D481" s="374">
        <f>PRRAS!E493</f>
        <v>0</v>
      </c>
      <c r="E481" s="374"/>
      <c r="F481" s="374"/>
      <c r="G481" s="375">
        <f t="shared" si="14"/>
        <v>0</v>
      </c>
      <c r="H481" s="375">
        <f t="shared" si="15"/>
        <v>0</v>
      </c>
      <c r="I481" s="376">
        <v>0</v>
      </c>
    </row>
    <row r="482" spans="1:9" x14ac:dyDescent="0.25">
      <c r="A482" s="373">
        <v>151</v>
      </c>
      <c r="B482" s="374">
        <f>PRRAS!C494</f>
        <v>481</v>
      </c>
      <c r="C482" s="374">
        <f>PRRAS!D494</f>
        <v>0</v>
      </c>
      <c r="D482" s="374">
        <f>PRRAS!E494</f>
        <v>0</v>
      </c>
      <c r="E482" s="374"/>
      <c r="F482" s="374"/>
      <c r="G482" s="375">
        <f t="shared" si="14"/>
        <v>0</v>
      </c>
      <c r="H482" s="375">
        <f t="shared" si="15"/>
        <v>0</v>
      </c>
      <c r="I482" s="376">
        <v>0</v>
      </c>
    </row>
    <row r="483" spans="1:9" x14ac:dyDescent="0.25">
      <c r="A483" s="373">
        <v>151</v>
      </c>
      <c r="B483" s="374">
        <f>PRRAS!C495</f>
        <v>482</v>
      </c>
      <c r="C483" s="374">
        <f>PRRAS!D495</f>
        <v>0</v>
      </c>
      <c r="D483" s="374">
        <f>PRRAS!E495</f>
        <v>0</v>
      </c>
      <c r="E483" s="374"/>
      <c r="F483" s="374"/>
      <c r="G483" s="375">
        <f t="shared" si="14"/>
        <v>0</v>
      </c>
      <c r="H483" s="375">
        <f t="shared" si="15"/>
        <v>0</v>
      </c>
      <c r="I483" s="376">
        <v>0</v>
      </c>
    </row>
    <row r="484" spans="1:9" x14ac:dyDescent="0.25">
      <c r="A484" s="373">
        <v>151</v>
      </c>
      <c r="B484" s="374">
        <f>PRRAS!C496</f>
        <v>483</v>
      </c>
      <c r="C484" s="374">
        <f>PRRAS!D496</f>
        <v>0</v>
      </c>
      <c r="D484" s="374">
        <f>PRRAS!E496</f>
        <v>0</v>
      </c>
      <c r="E484" s="374"/>
      <c r="F484" s="374"/>
      <c r="G484" s="375">
        <f t="shared" si="14"/>
        <v>0</v>
      </c>
      <c r="H484" s="375">
        <f t="shared" si="15"/>
        <v>0</v>
      </c>
      <c r="I484" s="376">
        <v>0</v>
      </c>
    </row>
    <row r="485" spans="1:9" x14ac:dyDescent="0.25">
      <c r="A485" s="373">
        <v>151</v>
      </c>
      <c r="B485" s="374">
        <f>PRRAS!C497</f>
        <v>484</v>
      </c>
      <c r="C485" s="374">
        <f>PRRAS!D497</f>
        <v>0</v>
      </c>
      <c r="D485" s="374">
        <f>PRRAS!E497</f>
        <v>0</v>
      </c>
      <c r="E485" s="374"/>
      <c r="F485" s="374"/>
      <c r="G485" s="375">
        <f t="shared" si="14"/>
        <v>0</v>
      </c>
      <c r="H485" s="375">
        <f t="shared" si="15"/>
        <v>0</v>
      </c>
      <c r="I485" s="376">
        <v>0</v>
      </c>
    </row>
    <row r="486" spans="1:9" x14ac:dyDescent="0.25">
      <c r="A486" s="373">
        <v>151</v>
      </c>
      <c r="B486" s="374">
        <f>PRRAS!C498</f>
        <v>485</v>
      </c>
      <c r="C486" s="374">
        <f>PRRAS!D498</f>
        <v>0</v>
      </c>
      <c r="D486" s="374">
        <f>PRRAS!E498</f>
        <v>0</v>
      </c>
      <c r="E486" s="374"/>
      <c r="F486" s="374"/>
      <c r="G486" s="375">
        <f t="shared" si="14"/>
        <v>0</v>
      </c>
      <c r="H486" s="375">
        <f t="shared" si="15"/>
        <v>0</v>
      </c>
      <c r="I486" s="376">
        <v>0</v>
      </c>
    </row>
    <row r="487" spans="1:9" x14ac:dyDescent="0.25">
      <c r="A487" s="373">
        <v>151</v>
      </c>
      <c r="B487" s="374">
        <f>PRRAS!C499</f>
        <v>486</v>
      </c>
      <c r="C487" s="374">
        <f>PRRAS!D499</f>
        <v>0</v>
      </c>
      <c r="D487" s="374">
        <f>PRRAS!E499</f>
        <v>0</v>
      </c>
      <c r="E487" s="374"/>
      <c r="F487" s="374"/>
      <c r="G487" s="375">
        <f t="shared" si="14"/>
        <v>0</v>
      </c>
      <c r="H487" s="375">
        <f t="shared" si="15"/>
        <v>0</v>
      </c>
      <c r="I487" s="376">
        <v>0</v>
      </c>
    </row>
    <row r="488" spans="1:9" x14ac:dyDescent="0.25">
      <c r="A488" s="373">
        <v>151</v>
      </c>
      <c r="B488" s="374">
        <f>PRRAS!C500</f>
        <v>487</v>
      </c>
      <c r="C488" s="374">
        <f>PRRAS!D500</f>
        <v>0</v>
      </c>
      <c r="D488" s="374">
        <f>PRRAS!E500</f>
        <v>0</v>
      </c>
      <c r="E488" s="374"/>
      <c r="F488" s="374"/>
      <c r="G488" s="375">
        <f t="shared" si="14"/>
        <v>0</v>
      </c>
      <c r="H488" s="375">
        <f t="shared" si="15"/>
        <v>0</v>
      </c>
      <c r="I488" s="376">
        <v>0</v>
      </c>
    </row>
    <row r="489" spans="1:9" x14ac:dyDescent="0.25">
      <c r="A489" s="373">
        <v>151</v>
      </c>
      <c r="B489" s="374">
        <f>PRRAS!C501</f>
        <v>488</v>
      </c>
      <c r="C489" s="374">
        <f>PRRAS!D501</f>
        <v>0</v>
      </c>
      <c r="D489" s="374">
        <f>PRRAS!E501</f>
        <v>0</v>
      </c>
      <c r="E489" s="374"/>
      <c r="F489" s="374"/>
      <c r="G489" s="375">
        <f t="shared" si="14"/>
        <v>0</v>
      </c>
      <c r="H489" s="375">
        <f t="shared" si="15"/>
        <v>0</v>
      </c>
      <c r="I489" s="376">
        <v>0</v>
      </c>
    </row>
    <row r="490" spans="1:9" x14ac:dyDescent="0.25">
      <c r="A490" s="373">
        <v>151</v>
      </c>
      <c r="B490" s="374">
        <f>PRRAS!C502</f>
        <v>489</v>
      </c>
      <c r="C490" s="374">
        <f>PRRAS!D502</f>
        <v>0</v>
      </c>
      <c r="D490" s="374">
        <f>PRRAS!E502</f>
        <v>0</v>
      </c>
      <c r="E490" s="374"/>
      <c r="F490" s="374"/>
      <c r="G490" s="375">
        <f t="shared" si="14"/>
        <v>0</v>
      </c>
      <c r="H490" s="375">
        <f t="shared" si="15"/>
        <v>0</v>
      </c>
      <c r="I490" s="376">
        <v>0</v>
      </c>
    </row>
    <row r="491" spans="1:9" x14ac:dyDescent="0.25">
      <c r="A491" s="373">
        <v>151</v>
      </c>
      <c r="B491" s="374">
        <f>PRRAS!C503</f>
        <v>490</v>
      </c>
      <c r="C491" s="374">
        <f>PRRAS!D503</f>
        <v>0</v>
      </c>
      <c r="D491" s="374">
        <f>PRRAS!E503</f>
        <v>0</v>
      </c>
      <c r="E491" s="374"/>
      <c r="F491" s="374"/>
      <c r="G491" s="375">
        <f t="shared" si="14"/>
        <v>0</v>
      </c>
      <c r="H491" s="375">
        <f t="shared" si="15"/>
        <v>0</v>
      </c>
      <c r="I491" s="376">
        <v>0</v>
      </c>
    </row>
    <row r="492" spans="1:9" x14ac:dyDescent="0.25">
      <c r="A492" s="373">
        <v>151</v>
      </c>
      <c r="B492" s="374">
        <f>PRRAS!C504</f>
        <v>491</v>
      </c>
      <c r="C492" s="374">
        <f>PRRAS!D504</f>
        <v>0</v>
      </c>
      <c r="D492" s="374">
        <f>PRRAS!E504</f>
        <v>0</v>
      </c>
      <c r="E492" s="374"/>
      <c r="F492" s="374"/>
      <c r="G492" s="375">
        <f t="shared" si="14"/>
        <v>0</v>
      </c>
      <c r="H492" s="375">
        <f t="shared" si="15"/>
        <v>0</v>
      </c>
      <c r="I492" s="376">
        <v>0</v>
      </c>
    </row>
    <row r="493" spans="1:9" x14ac:dyDescent="0.25">
      <c r="A493" s="373">
        <v>151</v>
      </c>
      <c r="B493" s="374">
        <f>PRRAS!C505</f>
        <v>492</v>
      </c>
      <c r="C493" s="374">
        <f>PRRAS!D505</f>
        <v>0</v>
      </c>
      <c r="D493" s="374">
        <f>PRRAS!E505</f>
        <v>0</v>
      </c>
      <c r="E493" s="374"/>
      <c r="F493" s="374"/>
      <c r="G493" s="375">
        <f t="shared" si="14"/>
        <v>0</v>
      </c>
      <c r="H493" s="375">
        <f t="shared" si="15"/>
        <v>0</v>
      </c>
      <c r="I493" s="376">
        <v>0</v>
      </c>
    </row>
    <row r="494" spans="1:9" x14ac:dyDescent="0.25">
      <c r="A494" s="373">
        <v>151</v>
      </c>
      <c r="B494" s="374">
        <f>PRRAS!C506</f>
        <v>493</v>
      </c>
      <c r="C494" s="374">
        <f>PRRAS!D506</f>
        <v>0</v>
      </c>
      <c r="D494" s="374">
        <f>PRRAS!E506</f>
        <v>0</v>
      </c>
      <c r="E494" s="374"/>
      <c r="F494" s="374"/>
      <c r="G494" s="375">
        <f t="shared" si="14"/>
        <v>0</v>
      </c>
      <c r="H494" s="375">
        <f t="shared" si="15"/>
        <v>0</v>
      </c>
      <c r="I494" s="376">
        <v>0</v>
      </c>
    </row>
    <row r="495" spans="1:9" x14ac:dyDescent="0.25">
      <c r="A495" s="373">
        <v>151</v>
      </c>
      <c r="B495" s="374">
        <f>PRRAS!C507</f>
        <v>494</v>
      </c>
      <c r="C495" s="374">
        <f>PRRAS!D507</f>
        <v>0</v>
      </c>
      <c r="D495" s="374">
        <f>PRRAS!E507</f>
        <v>0</v>
      </c>
      <c r="E495" s="374"/>
      <c r="F495" s="374"/>
      <c r="G495" s="375">
        <f t="shared" si="14"/>
        <v>0</v>
      </c>
      <c r="H495" s="375">
        <f t="shared" si="15"/>
        <v>0</v>
      </c>
      <c r="I495" s="376">
        <v>0</v>
      </c>
    </row>
    <row r="496" spans="1:9" x14ac:dyDescent="0.25">
      <c r="A496" s="373">
        <v>151</v>
      </c>
      <c r="B496" s="374">
        <f>PRRAS!C508</f>
        <v>495</v>
      </c>
      <c r="C496" s="374">
        <f>PRRAS!D508</f>
        <v>0</v>
      </c>
      <c r="D496" s="374">
        <f>PRRAS!E508</f>
        <v>0</v>
      </c>
      <c r="E496" s="374"/>
      <c r="F496" s="374"/>
      <c r="G496" s="375">
        <f t="shared" si="14"/>
        <v>0</v>
      </c>
      <c r="H496" s="375">
        <f t="shared" si="15"/>
        <v>0</v>
      </c>
      <c r="I496" s="376">
        <v>0</v>
      </c>
    </row>
    <row r="497" spans="1:9" x14ac:dyDescent="0.25">
      <c r="A497" s="373">
        <v>151</v>
      </c>
      <c r="B497" s="374">
        <f>PRRAS!C509</f>
        <v>496</v>
      </c>
      <c r="C497" s="374">
        <f>PRRAS!D509</f>
        <v>0</v>
      </c>
      <c r="D497" s="374">
        <f>PRRAS!E509</f>
        <v>0</v>
      </c>
      <c r="E497" s="374"/>
      <c r="F497" s="374"/>
      <c r="G497" s="375">
        <f t="shared" si="14"/>
        <v>0</v>
      </c>
      <c r="H497" s="375">
        <f t="shared" si="15"/>
        <v>0</v>
      </c>
      <c r="I497" s="376">
        <v>0</v>
      </c>
    </row>
    <row r="498" spans="1:9" x14ac:dyDescent="0.25">
      <c r="A498" s="373">
        <v>151</v>
      </c>
      <c r="B498" s="374">
        <f>PRRAS!C510</f>
        <v>497</v>
      </c>
      <c r="C498" s="374">
        <f>PRRAS!D510</f>
        <v>0</v>
      </c>
      <c r="D498" s="374">
        <f>PRRAS!E510</f>
        <v>0</v>
      </c>
      <c r="E498" s="374"/>
      <c r="F498" s="374"/>
      <c r="G498" s="375">
        <f t="shared" si="14"/>
        <v>0</v>
      </c>
      <c r="H498" s="375">
        <f t="shared" si="15"/>
        <v>0</v>
      </c>
      <c r="I498" s="376">
        <v>0</v>
      </c>
    </row>
    <row r="499" spans="1:9" x14ac:dyDescent="0.25">
      <c r="A499" s="373">
        <v>151</v>
      </c>
      <c r="B499" s="374">
        <f>PRRAS!C511</f>
        <v>498</v>
      </c>
      <c r="C499" s="374">
        <f>PRRAS!D511</f>
        <v>0</v>
      </c>
      <c r="D499" s="374">
        <f>PRRAS!E511</f>
        <v>0</v>
      </c>
      <c r="E499" s="374"/>
      <c r="F499" s="374"/>
      <c r="G499" s="375">
        <f t="shared" si="14"/>
        <v>0</v>
      </c>
      <c r="H499" s="375">
        <f t="shared" si="15"/>
        <v>0</v>
      </c>
      <c r="I499" s="376">
        <v>0</v>
      </c>
    </row>
    <row r="500" spans="1:9" x14ac:dyDescent="0.25">
      <c r="A500" s="373">
        <v>151</v>
      </c>
      <c r="B500" s="374">
        <f>PRRAS!C512</f>
        <v>499</v>
      </c>
      <c r="C500" s="374">
        <f>PRRAS!D512</f>
        <v>0</v>
      </c>
      <c r="D500" s="374">
        <f>PRRAS!E512</f>
        <v>0</v>
      </c>
      <c r="E500" s="374"/>
      <c r="F500" s="374"/>
      <c r="G500" s="375">
        <f t="shared" si="14"/>
        <v>0</v>
      </c>
      <c r="H500" s="375">
        <f t="shared" si="15"/>
        <v>0</v>
      </c>
      <c r="I500" s="376">
        <v>0</v>
      </c>
    </row>
    <row r="501" spans="1:9" x14ac:dyDescent="0.25">
      <c r="A501" s="373">
        <v>151</v>
      </c>
      <c r="B501" s="374">
        <f>PRRAS!C513</f>
        <v>500</v>
      </c>
      <c r="C501" s="374">
        <f>PRRAS!D513</f>
        <v>0</v>
      </c>
      <c r="D501" s="374">
        <f>PRRAS!E513</f>
        <v>0</v>
      </c>
      <c r="E501" s="374"/>
      <c r="F501" s="374"/>
      <c r="G501" s="375">
        <f t="shared" si="14"/>
        <v>0</v>
      </c>
      <c r="H501" s="375">
        <f t="shared" si="15"/>
        <v>0</v>
      </c>
      <c r="I501" s="376">
        <v>0</v>
      </c>
    </row>
    <row r="502" spans="1:9" x14ac:dyDescent="0.25">
      <c r="A502" s="373">
        <v>151</v>
      </c>
      <c r="B502" s="374">
        <f>PRRAS!C514</f>
        <v>501</v>
      </c>
      <c r="C502" s="374">
        <f>PRRAS!D514</f>
        <v>0</v>
      </c>
      <c r="D502" s="374">
        <f>PRRAS!E514</f>
        <v>0</v>
      </c>
      <c r="E502" s="374"/>
      <c r="F502" s="374"/>
      <c r="G502" s="375">
        <f t="shared" si="14"/>
        <v>0</v>
      </c>
      <c r="H502" s="375">
        <f t="shared" si="15"/>
        <v>0</v>
      </c>
      <c r="I502" s="376">
        <v>0</v>
      </c>
    </row>
    <row r="503" spans="1:9" x14ac:dyDescent="0.25">
      <c r="A503" s="373">
        <v>151</v>
      </c>
      <c r="B503" s="374">
        <f>PRRAS!C515</f>
        <v>502</v>
      </c>
      <c r="C503" s="374">
        <f>PRRAS!D515</f>
        <v>0</v>
      </c>
      <c r="D503" s="374">
        <f>PRRAS!E515</f>
        <v>0</v>
      </c>
      <c r="E503" s="374"/>
      <c r="F503" s="374"/>
      <c r="G503" s="375">
        <f t="shared" si="14"/>
        <v>0</v>
      </c>
      <c r="H503" s="375">
        <f t="shared" si="15"/>
        <v>0</v>
      </c>
      <c r="I503" s="376">
        <v>0</v>
      </c>
    </row>
    <row r="504" spans="1:9" x14ac:dyDescent="0.25">
      <c r="A504" s="373">
        <v>151</v>
      </c>
      <c r="B504" s="374">
        <f>PRRAS!C516</f>
        <v>503</v>
      </c>
      <c r="C504" s="374">
        <f>PRRAS!D516</f>
        <v>0</v>
      </c>
      <c r="D504" s="374">
        <f>PRRAS!E516</f>
        <v>0</v>
      </c>
      <c r="E504" s="374"/>
      <c r="F504" s="374"/>
      <c r="G504" s="375">
        <f t="shared" si="14"/>
        <v>0</v>
      </c>
      <c r="H504" s="375">
        <f t="shared" si="15"/>
        <v>0</v>
      </c>
      <c r="I504" s="376">
        <v>0</v>
      </c>
    </row>
    <row r="505" spans="1:9" x14ac:dyDescent="0.25">
      <c r="A505" s="373">
        <v>151</v>
      </c>
      <c r="B505" s="374">
        <f>PRRAS!C517</f>
        <v>504</v>
      </c>
      <c r="C505" s="374">
        <f>PRRAS!D517</f>
        <v>0</v>
      </c>
      <c r="D505" s="374">
        <f>PRRAS!E517</f>
        <v>0</v>
      </c>
      <c r="E505" s="374"/>
      <c r="F505" s="374"/>
      <c r="G505" s="375">
        <f t="shared" si="14"/>
        <v>0</v>
      </c>
      <c r="H505" s="375">
        <f t="shared" si="15"/>
        <v>0</v>
      </c>
      <c r="I505" s="376">
        <v>0</v>
      </c>
    </row>
    <row r="506" spans="1:9" x14ac:dyDescent="0.25">
      <c r="A506" s="373">
        <v>151</v>
      </c>
      <c r="B506" s="374">
        <f>PRRAS!C518</f>
        <v>505</v>
      </c>
      <c r="C506" s="374">
        <f>PRRAS!D518</f>
        <v>0</v>
      </c>
      <c r="D506" s="374">
        <f>PRRAS!E518</f>
        <v>0</v>
      </c>
      <c r="E506" s="374"/>
      <c r="F506" s="374"/>
      <c r="G506" s="375">
        <f t="shared" si="14"/>
        <v>0</v>
      </c>
      <c r="H506" s="375">
        <f t="shared" si="15"/>
        <v>0</v>
      </c>
      <c r="I506" s="376">
        <v>0</v>
      </c>
    </row>
    <row r="507" spans="1:9" x14ac:dyDescent="0.25">
      <c r="A507" s="373">
        <v>151</v>
      </c>
      <c r="B507" s="374">
        <f>PRRAS!C519</f>
        <v>506</v>
      </c>
      <c r="C507" s="374">
        <f>PRRAS!D519</f>
        <v>0</v>
      </c>
      <c r="D507" s="374">
        <f>PRRAS!E519</f>
        <v>0</v>
      </c>
      <c r="E507" s="374"/>
      <c r="F507" s="374"/>
      <c r="G507" s="375">
        <f t="shared" si="14"/>
        <v>0</v>
      </c>
      <c r="H507" s="375">
        <f t="shared" si="15"/>
        <v>0</v>
      </c>
      <c r="I507" s="376">
        <v>0</v>
      </c>
    </row>
    <row r="508" spans="1:9" x14ac:dyDescent="0.25">
      <c r="A508" s="373">
        <v>151</v>
      </c>
      <c r="B508" s="374">
        <f>PRRAS!C520</f>
        <v>507</v>
      </c>
      <c r="C508" s="374">
        <f>PRRAS!D520</f>
        <v>0</v>
      </c>
      <c r="D508" s="374">
        <f>PRRAS!E520</f>
        <v>0</v>
      </c>
      <c r="E508" s="374"/>
      <c r="F508" s="374"/>
      <c r="G508" s="375">
        <f t="shared" si="14"/>
        <v>0</v>
      </c>
      <c r="H508" s="375">
        <f t="shared" si="15"/>
        <v>0</v>
      </c>
      <c r="I508" s="376">
        <v>0</v>
      </c>
    </row>
    <row r="509" spans="1:9" x14ac:dyDescent="0.25">
      <c r="A509" s="373">
        <v>151</v>
      </c>
      <c r="B509" s="374">
        <f>PRRAS!C521</f>
        <v>508</v>
      </c>
      <c r="C509" s="374">
        <f>PRRAS!D521</f>
        <v>0</v>
      </c>
      <c r="D509" s="374">
        <f>PRRAS!E521</f>
        <v>0</v>
      </c>
      <c r="E509" s="374"/>
      <c r="F509" s="374"/>
      <c r="G509" s="375">
        <f t="shared" si="14"/>
        <v>0</v>
      </c>
      <c r="H509" s="375">
        <f t="shared" si="15"/>
        <v>0</v>
      </c>
      <c r="I509" s="376">
        <v>0</v>
      </c>
    </row>
    <row r="510" spans="1:9" x14ac:dyDescent="0.25">
      <c r="A510" s="373">
        <v>151</v>
      </c>
      <c r="B510" s="374">
        <f>PRRAS!C522</f>
        <v>509</v>
      </c>
      <c r="C510" s="374">
        <f>PRRAS!D522</f>
        <v>0</v>
      </c>
      <c r="D510" s="374">
        <f>PRRAS!E522</f>
        <v>0</v>
      </c>
      <c r="E510" s="374"/>
      <c r="F510" s="374"/>
      <c r="G510" s="375">
        <f t="shared" si="14"/>
        <v>0</v>
      </c>
      <c r="H510" s="375">
        <f t="shared" si="15"/>
        <v>0</v>
      </c>
      <c r="I510" s="376">
        <v>0</v>
      </c>
    </row>
    <row r="511" spans="1:9" x14ac:dyDescent="0.25">
      <c r="A511" s="373">
        <v>151</v>
      </c>
      <c r="B511" s="374">
        <f>PRRAS!C523</f>
        <v>510</v>
      </c>
      <c r="C511" s="374">
        <f>PRRAS!D523</f>
        <v>0</v>
      </c>
      <c r="D511" s="374">
        <f>PRRAS!E523</f>
        <v>0</v>
      </c>
      <c r="E511" s="374"/>
      <c r="F511" s="374"/>
      <c r="G511" s="375">
        <f t="shared" si="14"/>
        <v>0</v>
      </c>
      <c r="H511" s="375">
        <f t="shared" si="15"/>
        <v>0</v>
      </c>
      <c r="I511" s="376">
        <v>0</v>
      </c>
    </row>
    <row r="512" spans="1:9" x14ac:dyDescent="0.25">
      <c r="A512" s="373">
        <v>151</v>
      </c>
      <c r="B512" s="374">
        <f>PRRAS!C524</f>
        <v>511</v>
      </c>
      <c r="C512" s="374">
        <f>PRRAS!D524</f>
        <v>0</v>
      </c>
      <c r="D512" s="374">
        <f>PRRAS!E524</f>
        <v>0</v>
      </c>
      <c r="E512" s="374"/>
      <c r="F512" s="374"/>
      <c r="G512" s="375">
        <f t="shared" si="14"/>
        <v>0</v>
      </c>
      <c r="H512" s="375">
        <f t="shared" si="15"/>
        <v>0</v>
      </c>
      <c r="I512" s="376">
        <v>0</v>
      </c>
    </row>
    <row r="513" spans="1:9" x14ac:dyDescent="0.25">
      <c r="A513" s="373">
        <v>151</v>
      </c>
      <c r="B513" s="374">
        <f>PRRAS!C525</f>
        <v>512</v>
      </c>
      <c r="C513" s="374">
        <f>PRRAS!D525</f>
        <v>0</v>
      </c>
      <c r="D513" s="374">
        <f>PRRAS!E525</f>
        <v>0</v>
      </c>
      <c r="E513" s="374"/>
      <c r="F513" s="374"/>
      <c r="G513" s="375">
        <f t="shared" si="14"/>
        <v>0</v>
      </c>
      <c r="H513" s="375">
        <f t="shared" si="15"/>
        <v>0</v>
      </c>
      <c r="I513" s="376">
        <v>0</v>
      </c>
    </row>
    <row r="514" spans="1:9" x14ac:dyDescent="0.25">
      <c r="A514" s="373">
        <v>151</v>
      </c>
      <c r="B514" s="374">
        <f>PRRAS!C526</f>
        <v>513</v>
      </c>
      <c r="C514" s="374">
        <f>PRRAS!D526</f>
        <v>0</v>
      </c>
      <c r="D514" s="374">
        <f>PRRAS!E526</f>
        <v>0</v>
      </c>
      <c r="E514" s="374"/>
      <c r="F514" s="374"/>
      <c r="G514" s="375">
        <f t="shared" si="14"/>
        <v>0</v>
      </c>
      <c r="H514" s="375">
        <f t="shared" si="15"/>
        <v>0</v>
      </c>
      <c r="I514" s="376">
        <v>0</v>
      </c>
    </row>
    <row r="515" spans="1:9" x14ac:dyDescent="0.25">
      <c r="A515" s="373">
        <v>151</v>
      </c>
      <c r="B515" s="374">
        <f>PRRAS!C527</f>
        <v>514</v>
      </c>
      <c r="C515" s="374">
        <f>PRRAS!D527</f>
        <v>0</v>
      </c>
      <c r="D515" s="374">
        <f>PRRAS!E527</f>
        <v>0</v>
      </c>
      <c r="E515" s="374"/>
      <c r="F515" s="374"/>
      <c r="G515" s="375">
        <f t="shared" ref="G515:G578" si="16">(B515/1000)*(C515*1+D515*2)</f>
        <v>0</v>
      </c>
      <c r="H515" s="375">
        <f t="shared" ref="H515:H578" si="17">ABS(C515-ROUND(C515,0))+ABS(D515-ROUND(D515,0))</f>
        <v>0</v>
      </c>
      <c r="I515" s="376">
        <v>0</v>
      </c>
    </row>
    <row r="516" spans="1:9" x14ac:dyDescent="0.25">
      <c r="A516" s="373">
        <v>151</v>
      </c>
      <c r="B516" s="374">
        <f>PRRAS!C528</f>
        <v>515</v>
      </c>
      <c r="C516" s="374">
        <f>PRRAS!D528</f>
        <v>0</v>
      </c>
      <c r="D516" s="374">
        <f>PRRAS!E528</f>
        <v>0</v>
      </c>
      <c r="E516" s="374"/>
      <c r="F516" s="374"/>
      <c r="G516" s="375">
        <f t="shared" si="16"/>
        <v>0</v>
      </c>
      <c r="H516" s="375">
        <f t="shared" si="17"/>
        <v>0</v>
      </c>
      <c r="I516" s="376">
        <v>0</v>
      </c>
    </row>
    <row r="517" spans="1:9" x14ac:dyDescent="0.25">
      <c r="A517" s="373">
        <v>151</v>
      </c>
      <c r="B517" s="374">
        <f>PRRAS!C529</f>
        <v>516</v>
      </c>
      <c r="C517" s="374">
        <f>PRRAS!D529</f>
        <v>0</v>
      </c>
      <c r="D517" s="374">
        <f>PRRAS!E529</f>
        <v>0</v>
      </c>
      <c r="E517" s="374"/>
      <c r="F517" s="374"/>
      <c r="G517" s="375">
        <f t="shared" si="16"/>
        <v>0</v>
      </c>
      <c r="H517" s="375">
        <f t="shared" si="17"/>
        <v>0</v>
      </c>
      <c r="I517" s="376">
        <v>0</v>
      </c>
    </row>
    <row r="518" spans="1:9" x14ac:dyDescent="0.25">
      <c r="A518" s="373">
        <v>151</v>
      </c>
      <c r="B518" s="374">
        <f>PRRAS!C530</f>
        <v>517</v>
      </c>
      <c r="C518" s="374">
        <f>PRRAS!D530</f>
        <v>0</v>
      </c>
      <c r="D518" s="374">
        <f>PRRAS!E530</f>
        <v>0</v>
      </c>
      <c r="E518" s="374"/>
      <c r="F518" s="374"/>
      <c r="G518" s="375">
        <f t="shared" si="16"/>
        <v>0</v>
      </c>
      <c r="H518" s="375">
        <f t="shared" si="17"/>
        <v>0</v>
      </c>
      <c r="I518" s="376">
        <v>0</v>
      </c>
    </row>
    <row r="519" spans="1:9" x14ac:dyDescent="0.25">
      <c r="A519" s="373">
        <v>151</v>
      </c>
      <c r="B519" s="374">
        <f>PRRAS!C531</f>
        <v>518</v>
      </c>
      <c r="C519" s="374">
        <f>PRRAS!D531</f>
        <v>0</v>
      </c>
      <c r="D519" s="374">
        <f>PRRAS!E531</f>
        <v>0</v>
      </c>
      <c r="E519" s="374"/>
      <c r="F519" s="374"/>
      <c r="G519" s="375">
        <f t="shared" si="16"/>
        <v>0</v>
      </c>
      <c r="H519" s="375">
        <f t="shared" si="17"/>
        <v>0</v>
      </c>
      <c r="I519" s="376">
        <v>0</v>
      </c>
    </row>
    <row r="520" spans="1:9" x14ac:dyDescent="0.25">
      <c r="A520" s="373">
        <v>151</v>
      </c>
      <c r="B520" s="374">
        <f>PRRAS!C532</f>
        <v>519</v>
      </c>
      <c r="C520" s="374">
        <f>PRRAS!D532</f>
        <v>0</v>
      </c>
      <c r="D520" s="374">
        <f>PRRAS!E532</f>
        <v>0</v>
      </c>
      <c r="E520" s="374"/>
      <c r="F520" s="374"/>
      <c r="G520" s="375">
        <f t="shared" si="16"/>
        <v>0</v>
      </c>
      <c r="H520" s="375">
        <f t="shared" si="17"/>
        <v>0</v>
      </c>
      <c r="I520" s="376">
        <v>0</v>
      </c>
    </row>
    <row r="521" spans="1:9" x14ac:dyDescent="0.25">
      <c r="A521" s="373">
        <v>151</v>
      </c>
      <c r="B521" s="374">
        <f>PRRAS!C533</f>
        <v>520</v>
      </c>
      <c r="C521" s="374">
        <f>PRRAS!D533</f>
        <v>0</v>
      </c>
      <c r="D521" s="374">
        <f>PRRAS!E533</f>
        <v>0</v>
      </c>
      <c r="E521" s="374"/>
      <c r="F521" s="374"/>
      <c r="G521" s="375">
        <f t="shared" si="16"/>
        <v>0</v>
      </c>
      <c r="H521" s="375">
        <f t="shared" si="17"/>
        <v>0</v>
      </c>
      <c r="I521" s="376">
        <v>0</v>
      </c>
    </row>
    <row r="522" spans="1:9" x14ac:dyDescent="0.25">
      <c r="A522" s="373">
        <v>151</v>
      </c>
      <c r="B522" s="374">
        <f>PRRAS!C534</f>
        <v>521</v>
      </c>
      <c r="C522" s="374">
        <f>PRRAS!D534</f>
        <v>0</v>
      </c>
      <c r="D522" s="374">
        <f>PRRAS!E534</f>
        <v>0</v>
      </c>
      <c r="E522" s="374"/>
      <c r="F522" s="374"/>
      <c r="G522" s="375">
        <f t="shared" si="16"/>
        <v>0</v>
      </c>
      <c r="H522" s="375">
        <f t="shared" si="17"/>
        <v>0</v>
      </c>
      <c r="I522" s="376">
        <v>0</v>
      </c>
    </row>
    <row r="523" spans="1:9" x14ac:dyDescent="0.25">
      <c r="A523" s="373">
        <v>151</v>
      </c>
      <c r="B523" s="374">
        <f>PRRAS!C535</f>
        <v>522</v>
      </c>
      <c r="C523" s="374">
        <f>PRRAS!D535</f>
        <v>0</v>
      </c>
      <c r="D523" s="374">
        <f>PRRAS!E535</f>
        <v>0</v>
      </c>
      <c r="E523" s="374"/>
      <c r="F523" s="374"/>
      <c r="G523" s="375">
        <f t="shared" si="16"/>
        <v>0</v>
      </c>
      <c r="H523" s="375">
        <f t="shared" si="17"/>
        <v>0</v>
      </c>
      <c r="I523" s="376">
        <v>0</v>
      </c>
    </row>
    <row r="524" spans="1:9" x14ac:dyDescent="0.25">
      <c r="A524" s="373">
        <v>151</v>
      </c>
      <c r="B524" s="374">
        <f>PRRAS!C536</f>
        <v>523</v>
      </c>
      <c r="C524" s="374">
        <f>PRRAS!D536</f>
        <v>0</v>
      </c>
      <c r="D524" s="374">
        <f>PRRAS!E536</f>
        <v>0</v>
      </c>
      <c r="E524" s="374"/>
      <c r="F524" s="374"/>
      <c r="G524" s="375">
        <f t="shared" si="16"/>
        <v>0</v>
      </c>
      <c r="H524" s="375">
        <f t="shared" si="17"/>
        <v>0</v>
      </c>
      <c r="I524" s="376">
        <v>0</v>
      </c>
    </row>
    <row r="525" spans="1:9" x14ac:dyDescent="0.25">
      <c r="A525" s="373">
        <v>151</v>
      </c>
      <c r="B525" s="374">
        <f>PRRAS!C537</f>
        <v>524</v>
      </c>
      <c r="C525" s="374">
        <f>PRRAS!D537</f>
        <v>0</v>
      </c>
      <c r="D525" s="374">
        <f>PRRAS!E537</f>
        <v>0</v>
      </c>
      <c r="E525" s="374"/>
      <c r="F525" s="374"/>
      <c r="G525" s="375">
        <f t="shared" si="16"/>
        <v>0</v>
      </c>
      <c r="H525" s="375">
        <f t="shared" si="17"/>
        <v>0</v>
      </c>
      <c r="I525" s="376">
        <v>0</v>
      </c>
    </row>
    <row r="526" spans="1:9" x14ac:dyDescent="0.25">
      <c r="A526" s="373">
        <v>151</v>
      </c>
      <c r="B526" s="374">
        <f>PRRAS!C538</f>
        <v>525</v>
      </c>
      <c r="C526" s="374">
        <f>PRRAS!D538</f>
        <v>0</v>
      </c>
      <c r="D526" s="374">
        <f>PRRAS!E538</f>
        <v>0</v>
      </c>
      <c r="E526" s="374"/>
      <c r="F526" s="374"/>
      <c r="G526" s="375">
        <f t="shared" si="16"/>
        <v>0</v>
      </c>
      <c r="H526" s="375">
        <f t="shared" si="17"/>
        <v>0</v>
      </c>
      <c r="I526" s="376">
        <v>0</v>
      </c>
    </row>
    <row r="527" spans="1:9" x14ac:dyDescent="0.25">
      <c r="A527" s="373">
        <v>151</v>
      </c>
      <c r="B527" s="374">
        <f>PRRAS!C539</f>
        <v>526</v>
      </c>
      <c r="C527" s="374">
        <f>PRRAS!D539</f>
        <v>0</v>
      </c>
      <c r="D527" s="374">
        <f>PRRAS!E539</f>
        <v>0</v>
      </c>
      <c r="E527" s="374"/>
      <c r="F527" s="374"/>
      <c r="G527" s="375">
        <f t="shared" si="16"/>
        <v>0</v>
      </c>
      <c r="H527" s="375">
        <f t="shared" si="17"/>
        <v>0</v>
      </c>
      <c r="I527" s="376">
        <v>0</v>
      </c>
    </row>
    <row r="528" spans="1:9" x14ac:dyDescent="0.25">
      <c r="A528" s="373">
        <v>151</v>
      </c>
      <c r="B528" s="374">
        <f>PRRAS!C540</f>
        <v>527</v>
      </c>
      <c r="C528" s="374">
        <f>PRRAS!D540</f>
        <v>0</v>
      </c>
      <c r="D528" s="374">
        <f>PRRAS!E540</f>
        <v>0</v>
      </c>
      <c r="E528" s="374"/>
      <c r="F528" s="374"/>
      <c r="G528" s="375">
        <f t="shared" si="16"/>
        <v>0</v>
      </c>
      <c r="H528" s="375">
        <f t="shared" si="17"/>
        <v>0</v>
      </c>
      <c r="I528" s="376">
        <v>0</v>
      </c>
    </row>
    <row r="529" spans="1:9" x14ac:dyDescent="0.25">
      <c r="A529" s="373">
        <v>151</v>
      </c>
      <c r="B529" s="374">
        <f>PRRAS!C541</f>
        <v>528</v>
      </c>
      <c r="C529" s="374">
        <f>PRRAS!D541</f>
        <v>0</v>
      </c>
      <c r="D529" s="374">
        <f>PRRAS!E541</f>
        <v>0</v>
      </c>
      <c r="E529" s="374"/>
      <c r="F529" s="374"/>
      <c r="G529" s="375">
        <f t="shared" si="16"/>
        <v>0</v>
      </c>
      <c r="H529" s="375">
        <f t="shared" si="17"/>
        <v>0</v>
      </c>
      <c r="I529" s="376">
        <v>0</v>
      </c>
    </row>
    <row r="530" spans="1:9" x14ac:dyDescent="0.25">
      <c r="A530" s="373">
        <v>151</v>
      </c>
      <c r="B530" s="374">
        <f>PRRAS!C542</f>
        <v>529</v>
      </c>
      <c r="C530" s="374">
        <f>PRRAS!D542</f>
        <v>0</v>
      </c>
      <c r="D530" s="374">
        <f>PRRAS!E542</f>
        <v>0</v>
      </c>
      <c r="E530" s="374"/>
      <c r="F530" s="374"/>
      <c r="G530" s="375">
        <f t="shared" si="16"/>
        <v>0</v>
      </c>
      <c r="H530" s="375">
        <f t="shared" si="17"/>
        <v>0</v>
      </c>
      <c r="I530" s="376">
        <v>0</v>
      </c>
    </row>
    <row r="531" spans="1:9" x14ac:dyDescent="0.25">
      <c r="A531" s="373">
        <v>151</v>
      </c>
      <c r="B531" s="374">
        <f>PRRAS!C543</f>
        <v>530</v>
      </c>
      <c r="C531" s="374">
        <f>PRRAS!D543</f>
        <v>0</v>
      </c>
      <c r="D531" s="374">
        <f>PRRAS!E543</f>
        <v>0</v>
      </c>
      <c r="E531" s="374"/>
      <c r="F531" s="374"/>
      <c r="G531" s="375">
        <f t="shared" si="16"/>
        <v>0</v>
      </c>
      <c r="H531" s="375">
        <f t="shared" si="17"/>
        <v>0</v>
      </c>
      <c r="I531" s="376">
        <v>0</v>
      </c>
    </row>
    <row r="532" spans="1:9" x14ac:dyDescent="0.25">
      <c r="A532" s="373">
        <v>151</v>
      </c>
      <c r="B532" s="374">
        <f>PRRAS!C544</f>
        <v>531</v>
      </c>
      <c r="C532" s="374">
        <f>PRRAS!D544</f>
        <v>0</v>
      </c>
      <c r="D532" s="374">
        <f>PRRAS!E544</f>
        <v>0</v>
      </c>
      <c r="E532" s="374"/>
      <c r="F532" s="374"/>
      <c r="G532" s="375">
        <f t="shared" si="16"/>
        <v>0</v>
      </c>
      <c r="H532" s="375">
        <f t="shared" si="17"/>
        <v>0</v>
      </c>
      <c r="I532" s="376">
        <v>0</v>
      </c>
    </row>
    <row r="533" spans="1:9" x14ac:dyDescent="0.25">
      <c r="A533" s="373">
        <v>151</v>
      </c>
      <c r="B533" s="374">
        <f>PRRAS!C545</f>
        <v>532</v>
      </c>
      <c r="C533" s="374">
        <f>PRRAS!D545</f>
        <v>0</v>
      </c>
      <c r="D533" s="374">
        <f>PRRAS!E545</f>
        <v>0</v>
      </c>
      <c r="E533" s="374"/>
      <c r="F533" s="374"/>
      <c r="G533" s="375">
        <f t="shared" si="16"/>
        <v>0</v>
      </c>
      <c r="H533" s="375">
        <f t="shared" si="17"/>
        <v>0</v>
      </c>
      <c r="I533" s="376">
        <v>0</v>
      </c>
    </row>
    <row r="534" spans="1:9" x14ac:dyDescent="0.25">
      <c r="A534" s="373">
        <v>151</v>
      </c>
      <c r="B534" s="374">
        <f>PRRAS!C546</f>
        <v>533</v>
      </c>
      <c r="C534" s="374">
        <f>PRRAS!D546</f>
        <v>0</v>
      </c>
      <c r="D534" s="374">
        <f>PRRAS!E546</f>
        <v>0</v>
      </c>
      <c r="E534" s="374"/>
      <c r="F534" s="374"/>
      <c r="G534" s="375">
        <f t="shared" si="16"/>
        <v>0</v>
      </c>
      <c r="H534" s="375">
        <f t="shared" si="17"/>
        <v>0</v>
      </c>
      <c r="I534" s="376">
        <v>0</v>
      </c>
    </row>
    <row r="535" spans="1:9" x14ac:dyDescent="0.25">
      <c r="A535" s="373">
        <v>151</v>
      </c>
      <c r="B535" s="374">
        <f>PRRAS!C547</f>
        <v>534</v>
      </c>
      <c r="C535" s="374">
        <f>PRRAS!D547</f>
        <v>0</v>
      </c>
      <c r="D535" s="374">
        <f>PRRAS!E547</f>
        <v>0</v>
      </c>
      <c r="E535" s="374"/>
      <c r="F535" s="374"/>
      <c r="G535" s="375">
        <f t="shared" si="16"/>
        <v>0</v>
      </c>
      <c r="H535" s="375">
        <f t="shared" si="17"/>
        <v>0</v>
      </c>
      <c r="I535" s="376">
        <v>0</v>
      </c>
    </row>
    <row r="536" spans="1:9" x14ac:dyDescent="0.25">
      <c r="A536" s="373">
        <v>151</v>
      </c>
      <c r="B536" s="374">
        <f>PRRAS!C548</f>
        <v>535</v>
      </c>
      <c r="C536" s="374">
        <f>PRRAS!D548</f>
        <v>0</v>
      </c>
      <c r="D536" s="374">
        <f>PRRAS!E548</f>
        <v>0</v>
      </c>
      <c r="E536" s="374"/>
      <c r="F536" s="374"/>
      <c r="G536" s="375">
        <f t="shared" si="16"/>
        <v>0</v>
      </c>
      <c r="H536" s="375">
        <f t="shared" si="17"/>
        <v>0</v>
      </c>
      <c r="I536" s="376">
        <v>0</v>
      </c>
    </row>
    <row r="537" spans="1:9" x14ac:dyDescent="0.25">
      <c r="A537" s="373">
        <v>151</v>
      </c>
      <c r="B537" s="374">
        <f>PRRAS!C549</f>
        <v>536</v>
      </c>
      <c r="C537" s="374">
        <f>PRRAS!D549</f>
        <v>0</v>
      </c>
      <c r="D537" s="374">
        <f>PRRAS!E549</f>
        <v>0</v>
      </c>
      <c r="E537" s="374"/>
      <c r="F537" s="374"/>
      <c r="G537" s="375">
        <f t="shared" si="16"/>
        <v>0</v>
      </c>
      <c r="H537" s="375">
        <f t="shared" si="17"/>
        <v>0</v>
      </c>
      <c r="I537" s="376">
        <v>0</v>
      </c>
    </row>
    <row r="538" spans="1:9" x14ac:dyDescent="0.25">
      <c r="A538" s="373">
        <v>151</v>
      </c>
      <c r="B538" s="374">
        <f>PRRAS!C550</f>
        <v>537</v>
      </c>
      <c r="C538" s="374">
        <f>PRRAS!D550</f>
        <v>0</v>
      </c>
      <c r="D538" s="374">
        <f>PRRAS!E550</f>
        <v>0</v>
      </c>
      <c r="E538" s="374"/>
      <c r="F538" s="374"/>
      <c r="G538" s="375">
        <f t="shared" si="16"/>
        <v>0</v>
      </c>
      <c r="H538" s="375">
        <f t="shared" si="17"/>
        <v>0</v>
      </c>
      <c r="I538" s="376">
        <v>0</v>
      </c>
    </row>
    <row r="539" spans="1:9" x14ac:dyDescent="0.25">
      <c r="A539" s="373">
        <v>151</v>
      </c>
      <c r="B539" s="374">
        <f>PRRAS!C551</f>
        <v>538</v>
      </c>
      <c r="C539" s="374">
        <f>PRRAS!D551</f>
        <v>0</v>
      </c>
      <c r="D539" s="374">
        <f>PRRAS!E551</f>
        <v>0</v>
      </c>
      <c r="E539" s="374"/>
      <c r="F539" s="374"/>
      <c r="G539" s="375">
        <f t="shared" si="16"/>
        <v>0</v>
      </c>
      <c r="H539" s="375">
        <f t="shared" si="17"/>
        <v>0</v>
      </c>
      <c r="I539" s="376">
        <v>0</v>
      </c>
    </row>
    <row r="540" spans="1:9" x14ac:dyDescent="0.25">
      <c r="A540" s="373">
        <v>151</v>
      </c>
      <c r="B540" s="374">
        <f>PRRAS!C552</f>
        <v>539</v>
      </c>
      <c r="C540" s="374">
        <f>PRRAS!D552</f>
        <v>0</v>
      </c>
      <c r="D540" s="374">
        <f>PRRAS!E552</f>
        <v>0</v>
      </c>
      <c r="E540" s="374"/>
      <c r="F540" s="374"/>
      <c r="G540" s="375">
        <f t="shared" si="16"/>
        <v>0</v>
      </c>
      <c r="H540" s="375">
        <f t="shared" si="17"/>
        <v>0</v>
      </c>
      <c r="I540" s="376">
        <v>0</v>
      </c>
    </row>
    <row r="541" spans="1:9" x14ac:dyDescent="0.25">
      <c r="A541" s="373">
        <v>151</v>
      </c>
      <c r="B541" s="374">
        <f>PRRAS!C553</f>
        <v>540</v>
      </c>
      <c r="C541" s="374">
        <f>PRRAS!D553</f>
        <v>0</v>
      </c>
      <c r="D541" s="374">
        <f>PRRAS!E553</f>
        <v>0</v>
      </c>
      <c r="E541" s="374"/>
      <c r="F541" s="374"/>
      <c r="G541" s="375">
        <f t="shared" si="16"/>
        <v>0</v>
      </c>
      <c r="H541" s="375">
        <f t="shared" si="17"/>
        <v>0</v>
      </c>
      <c r="I541" s="376">
        <v>0</v>
      </c>
    </row>
    <row r="542" spans="1:9" x14ac:dyDescent="0.25">
      <c r="A542" s="373">
        <v>151</v>
      </c>
      <c r="B542" s="374">
        <f>PRRAS!C554</f>
        <v>541</v>
      </c>
      <c r="C542" s="374">
        <f>PRRAS!D554</f>
        <v>0</v>
      </c>
      <c r="D542" s="374">
        <f>PRRAS!E554</f>
        <v>0</v>
      </c>
      <c r="E542" s="374"/>
      <c r="F542" s="374"/>
      <c r="G542" s="375">
        <f t="shared" si="16"/>
        <v>0</v>
      </c>
      <c r="H542" s="375">
        <f t="shared" si="17"/>
        <v>0</v>
      </c>
      <c r="I542" s="376">
        <v>0</v>
      </c>
    </row>
    <row r="543" spans="1:9" x14ac:dyDescent="0.25">
      <c r="A543" s="373">
        <v>151</v>
      </c>
      <c r="B543" s="374">
        <f>PRRAS!C555</f>
        <v>542</v>
      </c>
      <c r="C543" s="374">
        <f>PRRAS!D555</f>
        <v>0</v>
      </c>
      <c r="D543" s="374">
        <f>PRRAS!E555</f>
        <v>0</v>
      </c>
      <c r="E543" s="374"/>
      <c r="F543" s="374"/>
      <c r="G543" s="375">
        <f t="shared" si="16"/>
        <v>0</v>
      </c>
      <c r="H543" s="375">
        <f t="shared" si="17"/>
        <v>0</v>
      </c>
      <c r="I543" s="376">
        <v>0</v>
      </c>
    </row>
    <row r="544" spans="1:9" x14ac:dyDescent="0.25">
      <c r="A544" s="373">
        <v>151</v>
      </c>
      <c r="B544" s="374">
        <f>PRRAS!C556</f>
        <v>543</v>
      </c>
      <c r="C544" s="374">
        <f>PRRAS!D556</f>
        <v>0</v>
      </c>
      <c r="D544" s="374">
        <f>PRRAS!E556</f>
        <v>0</v>
      </c>
      <c r="E544" s="374"/>
      <c r="F544" s="374"/>
      <c r="G544" s="375">
        <f t="shared" si="16"/>
        <v>0</v>
      </c>
      <c r="H544" s="375">
        <f t="shared" si="17"/>
        <v>0</v>
      </c>
      <c r="I544" s="376">
        <v>0</v>
      </c>
    </row>
    <row r="545" spans="1:9" x14ac:dyDescent="0.25">
      <c r="A545" s="373">
        <v>151</v>
      </c>
      <c r="B545" s="374">
        <f>PRRAS!C557</f>
        <v>544</v>
      </c>
      <c r="C545" s="374">
        <f>PRRAS!D557</f>
        <v>0</v>
      </c>
      <c r="D545" s="374">
        <f>PRRAS!E557</f>
        <v>0</v>
      </c>
      <c r="E545" s="374"/>
      <c r="F545" s="374"/>
      <c r="G545" s="375">
        <f t="shared" si="16"/>
        <v>0</v>
      </c>
      <c r="H545" s="375">
        <f t="shared" si="17"/>
        <v>0</v>
      </c>
      <c r="I545" s="376">
        <v>0</v>
      </c>
    </row>
    <row r="546" spans="1:9" x14ac:dyDescent="0.25">
      <c r="A546" s="373">
        <v>151</v>
      </c>
      <c r="B546" s="374">
        <f>PRRAS!C558</f>
        <v>545</v>
      </c>
      <c r="C546" s="374">
        <f>PRRAS!D558</f>
        <v>0</v>
      </c>
      <c r="D546" s="374">
        <f>PRRAS!E558</f>
        <v>0</v>
      </c>
      <c r="E546" s="374"/>
      <c r="F546" s="374"/>
      <c r="G546" s="375">
        <f t="shared" si="16"/>
        <v>0</v>
      </c>
      <c r="H546" s="375">
        <f t="shared" si="17"/>
        <v>0</v>
      </c>
      <c r="I546" s="376">
        <v>0</v>
      </c>
    </row>
    <row r="547" spans="1:9" x14ac:dyDescent="0.25">
      <c r="A547" s="373">
        <v>151</v>
      </c>
      <c r="B547" s="374">
        <f>PRRAS!C559</f>
        <v>546</v>
      </c>
      <c r="C547" s="374">
        <f>PRRAS!D559</f>
        <v>0</v>
      </c>
      <c r="D547" s="374">
        <f>PRRAS!E559</f>
        <v>0</v>
      </c>
      <c r="E547" s="374"/>
      <c r="F547" s="374"/>
      <c r="G547" s="375">
        <f t="shared" si="16"/>
        <v>0</v>
      </c>
      <c r="H547" s="375">
        <f t="shared" si="17"/>
        <v>0</v>
      </c>
      <c r="I547" s="376">
        <v>0</v>
      </c>
    </row>
    <row r="548" spans="1:9" x14ac:dyDescent="0.25">
      <c r="A548" s="373">
        <v>151</v>
      </c>
      <c r="B548" s="374">
        <f>PRRAS!C560</f>
        <v>547</v>
      </c>
      <c r="C548" s="374">
        <f>PRRAS!D560</f>
        <v>0</v>
      </c>
      <c r="D548" s="374">
        <f>PRRAS!E560</f>
        <v>0</v>
      </c>
      <c r="E548" s="374"/>
      <c r="F548" s="374"/>
      <c r="G548" s="375">
        <f t="shared" si="16"/>
        <v>0</v>
      </c>
      <c r="H548" s="375">
        <f t="shared" si="17"/>
        <v>0</v>
      </c>
      <c r="I548" s="376">
        <v>0</v>
      </c>
    </row>
    <row r="549" spans="1:9" x14ac:dyDescent="0.25">
      <c r="A549" s="373">
        <v>151</v>
      </c>
      <c r="B549" s="374">
        <f>PRRAS!C561</f>
        <v>548</v>
      </c>
      <c r="C549" s="374">
        <f>PRRAS!D561</f>
        <v>0</v>
      </c>
      <c r="D549" s="374">
        <f>PRRAS!E561</f>
        <v>0</v>
      </c>
      <c r="E549" s="374"/>
      <c r="F549" s="374"/>
      <c r="G549" s="375">
        <f t="shared" si="16"/>
        <v>0</v>
      </c>
      <c r="H549" s="375">
        <f t="shared" si="17"/>
        <v>0</v>
      </c>
      <c r="I549" s="376">
        <v>0</v>
      </c>
    </row>
    <row r="550" spans="1:9" x14ac:dyDescent="0.25">
      <c r="A550" s="373">
        <v>151</v>
      </c>
      <c r="B550" s="374">
        <f>PRRAS!C562</f>
        <v>549</v>
      </c>
      <c r="C550" s="374">
        <f>PRRAS!D562</f>
        <v>0</v>
      </c>
      <c r="D550" s="374">
        <f>PRRAS!E562</f>
        <v>0</v>
      </c>
      <c r="E550" s="374"/>
      <c r="F550" s="374"/>
      <c r="G550" s="375">
        <f t="shared" si="16"/>
        <v>0</v>
      </c>
      <c r="H550" s="375">
        <f t="shared" si="17"/>
        <v>0</v>
      </c>
      <c r="I550" s="376">
        <v>0</v>
      </c>
    </row>
    <row r="551" spans="1:9" x14ac:dyDescent="0.25">
      <c r="A551" s="373">
        <v>151</v>
      </c>
      <c r="B551" s="374">
        <f>PRRAS!C563</f>
        <v>550</v>
      </c>
      <c r="C551" s="374">
        <f>PRRAS!D563</f>
        <v>0</v>
      </c>
      <c r="D551" s="374">
        <f>PRRAS!E563</f>
        <v>0</v>
      </c>
      <c r="E551" s="374"/>
      <c r="F551" s="374"/>
      <c r="G551" s="375">
        <f t="shared" si="16"/>
        <v>0</v>
      </c>
      <c r="H551" s="375">
        <f t="shared" si="17"/>
        <v>0</v>
      </c>
      <c r="I551" s="376">
        <v>0</v>
      </c>
    </row>
    <row r="552" spans="1:9" x14ac:dyDescent="0.25">
      <c r="A552" s="373">
        <v>151</v>
      </c>
      <c r="B552" s="374">
        <f>PRRAS!C564</f>
        <v>551</v>
      </c>
      <c r="C552" s="374">
        <f>PRRAS!D564</f>
        <v>0</v>
      </c>
      <c r="D552" s="374">
        <f>PRRAS!E564</f>
        <v>0</v>
      </c>
      <c r="E552" s="374"/>
      <c r="F552" s="374"/>
      <c r="G552" s="375">
        <f t="shared" si="16"/>
        <v>0</v>
      </c>
      <c r="H552" s="375">
        <f t="shared" si="17"/>
        <v>0</v>
      </c>
      <c r="I552" s="376">
        <v>0</v>
      </c>
    </row>
    <row r="553" spans="1:9" x14ac:dyDescent="0.25">
      <c r="A553" s="373">
        <v>151</v>
      </c>
      <c r="B553" s="374">
        <f>PRRAS!C565</f>
        <v>552</v>
      </c>
      <c r="C553" s="374">
        <f>PRRAS!D565</f>
        <v>0</v>
      </c>
      <c r="D553" s="374">
        <f>PRRAS!E565</f>
        <v>0</v>
      </c>
      <c r="E553" s="374"/>
      <c r="F553" s="374"/>
      <c r="G553" s="375">
        <f t="shared" si="16"/>
        <v>0</v>
      </c>
      <c r="H553" s="375">
        <f t="shared" si="17"/>
        <v>0</v>
      </c>
      <c r="I553" s="376">
        <v>0</v>
      </c>
    </row>
    <row r="554" spans="1:9" x14ac:dyDescent="0.25">
      <c r="A554" s="373">
        <v>151</v>
      </c>
      <c r="B554" s="374">
        <f>PRRAS!C566</f>
        <v>553</v>
      </c>
      <c r="C554" s="374">
        <f>PRRAS!D566</f>
        <v>0</v>
      </c>
      <c r="D554" s="374">
        <f>PRRAS!E566</f>
        <v>0</v>
      </c>
      <c r="E554" s="374"/>
      <c r="F554" s="374"/>
      <c r="G554" s="375">
        <f t="shared" si="16"/>
        <v>0</v>
      </c>
      <c r="H554" s="375">
        <f t="shared" si="17"/>
        <v>0</v>
      </c>
      <c r="I554" s="376">
        <v>0</v>
      </c>
    </row>
    <row r="555" spans="1:9" x14ac:dyDescent="0.25">
      <c r="A555" s="373">
        <v>151</v>
      </c>
      <c r="B555" s="374">
        <f>PRRAS!C567</f>
        <v>554</v>
      </c>
      <c r="C555" s="374">
        <f>PRRAS!D567</f>
        <v>0</v>
      </c>
      <c r="D555" s="374">
        <f>PRRAS!E567</f>
        <v>0</v>
      </c>
      <c r="E555" s="374"/>
      <c r="F555" s="374"/>
      <c r="G555" s="375">
        <f t="shared" si="16"/>
        <v>0</v>
      </c>
      <c r="H555" s="375">
        <f t="shared" si="17"/>
        <v>0</v>
      </c>
      <c r="I555" s="376">
        <v>0</v>
      </c>
    </row>
    <row r="556" spans="1:9" x14ac:dyDescent="0.25">
      <c r="A556" s="373">
        <v>151</v>
      </c>
      <c r="B556" s="374">
        <f>PRRAS!C568</f>
        <v>555</v>
      </c>
      <c r="C556" s="374">
        <f>PRRAS!D568</f>
        <v>0</v>
      </c>
      <c r="D556" s="374">
        <f>PRRAS!E568</f>
        <v>0</v>
      </c>
      <c r="E556" s="374"/>
      <c r="F556" s="374"/>
      <c r="G556" s="375">
        <f t="shared" si="16"/>
        <v>0</v>
      </c>
      <c r="H556" s="375">
        <f t="shared" si="17"/>
        <v>0</v>
      </c>
      <c r="I556" s="376">
        <v>0</v>
      </c>
    </row>
    <row r="557" spans="1:9" x14ac:dyDescent="0.25">
      <c r="A557" s="373">
        <v>151</v>
      </c>
      <c r="B557" s="374">
        <f>PRRAS!C569</f>
        <v>556</v>
      </c>
      <c r="C557" s="374">
        <f>PRRAS!D569</f>
        <v>0</v>
      </c>
      <c r="D557" s="374">
        <f>PRRAS!E569</f>
        <v>0</v>
      </c>
      <c r="E557" s="374"/>
      <c r="F557" s="374"/>
      <c r="G557" s="375">
        <f t="shared" si="16"/>
        <v>0</v>
      </c>
      <c r="H557" s="375">
        <f t="shared" si="17"/>
        <v>0</v>
      </c>
      <c r="I557" s="376">
        <v>0</v>
      </c>
    </row>
    <row r="558" spans="1:9" x14ac:dyDescent="0.25">
      <c r="A558" s="373">
        <v>151</v>
      </c>
      <c r="B558" s="374">
        <f>PRRAS!C570</f>
        <v>557</v>
      </c>
      <c r="C558" s="374">
        <f>PRRAS!D570</f>
        <v>0</v>
      </c>
      <c r="D558" s="374">
        <f>PRRAS!E570</f>
        <v>0</v>
      </c>
      <c r="E558" s="374"/>
      <c r="F558" s="374"/>
      <c r="G558" s="375">
        <f t="shared" si="16"/>
        <v>0</v>
      </c>
      <c r="H558" s="375">
        <f t="shared" si="17"/>
        <v>0</v>
      </c>
      <c r="I558" s="376">
        <v>0</v>
      </c>
    </row>
    <row r="559" spans="1:9" x14ac:dyDescent="0.25">
      <c r="A559" s="373">
        <v>151</v>
      </c>
      <c r="B559" s="374">
        <f>PRRAS!C571</f>
        <v>558</v>
      </c>
      <c r="C559" s="374">
        <f>PRRAS!D571</f>
        <v>0</v>
      </c>
      <c r="D559" s="374">
        <f>PRRAS!E571</f>
        <v>0</v>
      </c>
      <c r="E559" s="374"/>
      <c r="F559" s="374"/>
      <c r="G559" s="375">
        <f t="shared" si="16"/>
        <v>0</v>
      </c>
      <c r="H559" s="375">
        <f t="shared" si="17"/>
        <v>0</v>
      </c>
      <c r="I559" s="376">
        <v>0</v>
      </c>
    </row>
    <row r="560" spans="1:9" x14ac:dyDescent="0.25">
      <c r="A560" s="373">
        <v>151</v>
      </c>
      <c r="B560" s="374">
        <f>PRRAS!C572</f>
        <v>559</v>
      </c>
      <c r="C560" s="374">
        <f>PRRAS!D572</f>
        <v>0</v>
      </c>
      <c r="D560" s="374">
        <f>PRRAS!E572</f>
        <v>0</v>
      </c>
      <c r="E560" s="374"/>
      <c r="F560" s="374"/>
      <c r="G560" s="375">
        <f t="shared" si="16"/>
        <v>0</v>
      </c>
      <c r="H560" s="375">
        <f t="shared" si="17"/>
        <v>0</v>
      </c>
      <c r="I560" s="376">
        <v>0</v>
      </c>
    </row>
    <row r="561" spans="1:9" x14ac:dyDescent="0.25">
      <c r="A561" s="373">
        <v>151</v>
      </c>
      <c r="B561" s="374">
        <f>PRRAS!C573</f>
        <v>560</v>
      </c>
      <c r="C561" s="374">
        <f>PRRAS!D573</f>
        <v>0</v>
      </c>
      <c r="D561" s="374">
        <f>PRRAS!E573</f>
        <v>0</v>
      </c>
      <c r="E561" s="374"/>
      <c r="F561" s="374"/>
      <c r="G561" s="375">
        <f t="shared" si="16"/>
        <v>0</v>
      </c>
      <c r="H561" s="375">
        <f t="shared" si="17"/>
        <v>0</v>
      </c>
      <c r="I561" s="376">
        <v>0</v>
      </c>
    </row>
    <row r="562" spans="1:9" x14ac:dyDescent="0.25">
      <c r="A562" s="373">
        <v>151</v>
      </c>
      <c r="B562" s="374">
        <f>PRRAS!C574</f>
        <v>561</v>
      </c>
      <c r="C562" s="374">
        <f>PRRAS!D574</f>
        <v>0</v>
      </c>
      <c r="D562" s="374">
        <f>PRRAS!E574</f>
        <v>0</v>
      </c>
      <c r="E562" s="374"/>
      <c r="F562" s="374"/>
      <c r="G562" s="375">
        <f t="shared" si="16"/>
        <v>0</v>
      </c>
      <c r="H562" s="375">
        <f t="shared" si="17"/>
        <v>0</v>
      </c>
      <c r="I562" s="376">
        <v>0</v>
      </c>
    </row>
    <row r="563" spans="1:9" x14ac:dyDescent="0.25">
      <c r="A563" s="373">
        <v>151</v>
      </c>
      <c r="B563" s="374">
        <f>PRRAS!C575</f>
        <v>562</v>
      </c>
      <c r="C563" s="374">
        <f>PRRAS!D575</f>
        <v>0</v>
      </c>
      <c r="D563" s="374">
        <f>PRRAS!E575</f>
        <v>0</v>
      </c>
      <c r="E563" s="374"/>
      <c r="F563" s="374"/>
      <c r="G563" s="375">
        <f t="shared" si="16"/>
        <v>0</v>
      </c>
      <c r="H563" s="375">
        <f t="shared" si="17"/>
        <v>0</v>
      </c>
      <c r="I563" s="376">
        <v>0</v>
      </c>
    </row>
    <row r="564" spans="1:9" x14ac:dyDescent="0.25">
      <c r="A564" s="373">
        <v>151</v>
      </c>
      <c r="B564" s="374">
        <f>PRRAS!C576</f>
        <v>563</v>
      </c>
      <c r="C564" s="374">
        <f>PRRAS!D576</f>
        <v>0</v>
      </c>
      <c r="D564" s="374">
        <f>PRRAS!E576</f>
        <v>0</v>
      </c>
      <c r="E564" s="374"/>
      <c r="F564" s="374"/>
      <c r="G564" s="375">
        <f t="shared" si="16"/>
        <v>0</v>
      </c>
      <c r="H564" s="375">
        <f t="shared" si="17"/>
        <v>0</v>
      </c>
      <c r="I564" s="376">
        <v>0</v>
      </c>
    </row>
    <row r="565" spans="1:9" x14ac:dyDescent="0.25">
      <c r="A565" s="373">
        <v>151</v>
      </c>
      <c r="B565" s="374">
        <f>PRRAS!C577</f>
        <v>564</v>
      </c>
      <c r="C565" s="374">
        <f>PRRAS!D577</f>
        <v>0</v>
      </c>
      <c r="D565" s="374">
        <f>PRRAS!E577</f>
        <v>0</v>
      </c>
      <c r="E565" s="374"/>
      <c r="F565" s="374"/>
      <c r="G565" s="375">
        <f t="shared" si="16"/>
        <v>0</v>
      </c>
      <c r="H565" s="375">
        <f t="shared" si="17"/>
        <v>0</v>
      </c>
      <c r="I565" s="376">
        <v>0</v>
      </c>
    </row>
    <row r="566" spans="1:9" x14ac:dyDescent="0.25">
      <c r="A566" s="373">
        <v>151</v>
      </c>
      <c r="B566" s="374">
        <f>PRRAS!C578</f>
        <v>565</v>
      </c>
      <c r="C566" s="374">
        <f>PRRAS!D578</f>
        <v>0</v>
      </c>
      <c r="D566" s="374">
        <f>PRRAS!E578</f>
        <v>0</v>
      </c>
      <c r="E566" s="374"/>
      <c r="F566" s="374"/>
      <c r="G566" s="375">
        <f t="shared" si="16"/>
        <v>0</v>
      </c>
      <c r="H566" s="375">
        <f t="shared" si="17"/>
        <v>0</v>
      </c>
      <c r="I566" s="376">
        <v>0</v>
      </c>
    </row>
    <row r="567" spans="1:9" x14ac:dyDescent="0.25">
      <c r="A567" s="373">
        <v>151</v>
      </c>
      <c r="B567" s="374">
        <f>PRRAS!C579</f>
        <v>566</v>
      </c>
      <c r="C567" s="374">
        <f>PRRAS!D579</f>
        <v>0</v>
      </c>
      <c r="D567" s="374">
        <f>PRRAS!E579</f>
        <v>0</v>
      </c>
      <c r="E567" s="374"/>
      <c r="F567" s="374"/>
      <c r="G567" s="375">
        <f t="shared" si="16"/>
        <v>0</v>
      </c>
      <c r="H567" s="375">
        <f t="shared" si="17"/>
        <v>0</v>
      </c>
      <c r="I567" s="376">
        <v>0</v>
      </c>
    </row>
    <row r="568" spans="1:9" x14ac:dyDescent="0.25">
      <c r="A568" s="373">
        <v>151</v>
      </c>
      <c r="B568" s="374">
        <f>PRRAS!C580</f>
        <v>567</v>
      </c>
      <c r="C568" s="374">
        <f>PRRAS!D580</f>
        <v>0</v>
      </c>
      <c r="D568" s="374">
        <f>PRRAS!E580</f>
        <v>0</v>
      </c>
      <c r="E568" s="374"/>
      <c r="F568" s="374"/>
      <c r="G568" s="375">
        <f t="shared" si="16"/>
        <v>0</v>
      </c>
      <c r="H568" s="375">
        <f t="shared" si="17"/>
        <v>0</v>
      </c>
      <c r="I568" s="376">
        <v>0</v>
      </c>
    </row>
    <row r="569" spans="1:9" x14ac:dyDescent="0.25">
      <c r="A569" s="373">
        <v>151</v>
      </c>
      <c r="B569" s="374">
        <f>PRRAS!C581</f>
        <v>568</v>
      </c>
      <c r="C569" s="374">
        <f>PRRAS!D581</f>
        <v>0</v>
      </c>
      <c r="D569" s="374">
        <f>PRRAS!E581</f>
        <v>0</v>
      </c>
      <c r="E569" s="374"/>
      <c r="F569" s="374"/>
      <c r="G569" s="375">
        <f t="shared" si="16"/>
        <v>0</v>
      </c>
      <c r="H569" s="375">
        <f t="shared" si="17"/>
        <v>0</v>
      </c>
      <c r="I569" s="376">
        <v>0</v>
      </c>
    </row>
    <row r="570" spans="1:9" x14ac:dyDescent="0.25">
      <c r="A570" s="373">
        <v>151</v>
      </c>
      <c r="B570" s="374">
        <f>PRRAS!C582</f>
        <v>569</v>
      </c>
      <c r="C570" s="374">
        <f>PRRAS!D582</f>
        <v>0</v>
      </c>
      <c r="D570" s="374">
        <f>PRRAS!E582</f>
        <v>0</v>
      </c>
      <c r="E570" s="374"/>
      <c r="F570" s="374"/>
      <c r="G570" s="375">
        <f t="shared" si="16"/>
        <v>0</v>
      </c>
      <c r="H570" s="375">
        <f t="shared" si="17"/>
        <v>0</v>
      </c>
      <c r="I570" s="376">
        <v>0</v>
      </c>
    </row>
    <row r="571" spans="1:9" x14ac:dyDescent="0.25">
      <c r="A571" s="373">
        <v>151</v>
      </c>
      <c r="B571" s="374">
        <f>PRRAS!C583</f>
        <v>570</v>
      </c>
      <c r="C571" s="374">
        <f>PRRAS!D583</f>
        <v>0</v>
      </c>
      <c r="D571" s="374">
        <f>PRRAS!E583</f>
        <v>0</v>
      </c>
      <c r="E571" s="374"/>
      <c r="F571" s="374"/>
      <c r="G571" s="375">
        <f t="shared" si="16"/>
        <v>0</v>
      </c>
      <c r="H571" s="375">
        <f t="shared" si="17"/>
        <v>0</v>
      </c>
      <c r="I571" s="376">
        <v>0</v>
      </c>
    </row>
    <row r="572" spans="1:9" x14ac:dyDescent="0.25">
      <c r="A572" s="373">
        <v>151</v>
      </c>
      <c r="B572" s="374">
        <f>PRRAS!C584</f>
        <v>571</v>
      </c>
      <c r="C572" s="374">
        <f>PRRAS!D584</f>
        <v>0</v>
      </c>
      <c r="D572" s="374">
        <f>PRRAS!E584</f>
        <v>0</v>
      </c>
      <c r="E572" s="374"/>
      <c r="F572" s="374"/>
      <c r="G572" s="375">
        <f t="shared" si="16"/>
        <v>0</v>
      </c>
      <c r="H572" s="375">
        <f t="shared" si="17"/>
        <v>0</v>
      </c>
      <c r="I572" s="376">
        <v>0</v>
      </c>
    </row>
    <row r="573" spans="1:9" x14ac:dyDescent="0.25">
      <c r="A573" s="373">
        <v>151</v>
      </c>
      <c r="B573" s="374">
        <f>PRRAS!C585</f>
        <v>572</v>
      </c>
      <c r="C573" s="374">
        <f>PRRAS!D585</f>
        <v>0</v>
      </c>
      <c r="D573" s="374">
        <f>PRRAS!E585</f>
        <v>0</v>
      </c>
      <c r="E573" s="374"/>
      <c r="F573" s="374"/>
      <c r="G573" s="375">
        <f t="shared" si="16"/>
        <v>0</v>
      </c>
      <c r="H573" s="375">
        <f t="shared" si="17"/>
        <v>0</v>
      </c>
      <c r="I573" s="376">
        <v>0</v>
      </c>
    </row>
    <row r="574" spans="1:9" x14ac:dyDescent="0.25">
      <c r="A574" s="373">
        <v>151</v>
      </c>
      <c r="B574" s="374">
        <f>PRRAS!C586</f>
        <v>573</v>
      </c>
      <c r="C574" s="374">
        <f>PRRAS!D586</f>
        <v>0</v>
      </c>
      <c r="D574" s="374">
        <f>PRRAS!E586</f>
        <v>0</v>
      </c>
      <c r="E574" s="374"/>
      <c r="F574" s="374"/>
      <c r="G574" s="375">
        <f t="shared" si="16"/>
        <v>0</v>
      </c>
      <c r="H574" s="375">
        <f t="shared" si="17"/>
        <v>0</v>
      </c>
      <c r="I574" s="376">
        <v>0</v>
      </c>
    </row>
    <row r="575" spans="1:9" x14ac:dyDescent="0.25">
      <c r="A575" s="373">
        <v>151</v>
      </c>
      <c r="B575" s="374">
        <f>PRRAS!C587</f>
        <v>574</v>
      </c>
      <c r="C575" s="374">
        <f>PRRAS!D587</f>
        <v>0</v>
      </c>
      <c r="D575" s="374">
        <f>PRRAS!E587</f>
        <v>0</v>
      </c>
      <c r="E575" s="374"/>
      <c r="F575" s="374"/>
      <c r="G575" s="375">
        <f t="shared" si="16"/>
        <v>0</v>
      </c>
      <c r="H575" s="375">
        <f t="shared" si="17"/>
        <v>0</v>
      </c>
      <c r="I575" s="376">
        <v>0</v>
      </c>
    </row>
    <row r="576" spans="1:9" x14ac:dyDescent="0.25">
      <c r="A576" s="373">
        <v>151</v>
      </c>
      <c r="B576" s="374">
        <f>PRRAS!C588</f>
        <v>575</v>
      </c>
      <c r="C576" s="374">
        <f>PRRAS!D588</f>
        <v>0</v>
      </c>
      <c r="D576" s="374">
        <f>PRRAS!E588</f>
        <v>0</v>
      </c>
      <c r="E576" s="374"/>
      <c r="F576" s="374"/>
      <c r="G576" s="375">
        <f t="shared" si="16"/>
        <v>0</v>
      </c>
      <c r="H576" s="375">
        <f t="shared" si="17"/>
        <v>0</v>
      </c>
      <c r="I576" s="376">
        <v>0</v>
      </c>
    </row>
    <row r="577" spans="1:9" x14ac:dyDescent="0.25">
      <c r="A577" s="373">
        <v>151</v>
      </c>
      <c r="B577" s="374">
        <f>PRRAS!C589</f>
        <v>576</v>
      </c>
      <c r="C577" s="374">
        <f>PRRAS!D589</f>
        <v>0</v>
      </c>
      <c r="D577" s="374">
        <f>PRRAS!E589</f>
        <v>0</v>
      </c>
      <c r="E577" s="374"/>
      <c r="F577" s="374"/>
      <c r="G577" s="375">
        <f t="shared" si="16"/>
        <v>0</v>
      </c>
      <c r="H577" s="375">
        <f t="shared" si="17"/>
        <v>0</v>
      </c>
      <c r="I577" s="376">
        <v>0</v>
      </c>
    </row>
    <row r="578" spans="1:9" x14ac:dyDescent="0.25">
      <c r="A578" s="373">
        <v>151</v>
      </c>
      <c r="B578" s="374">
        <f>PRRAS!C590</f>
        <v>577</v>
      </c>
      <c r="C578" s="374">
        <f>PRRAS!D590</f>
        <v>0</v>
      </c>
      <c r="D578" s="374">
        <f>PRRAS!E590</f>
        <v>0</v>
      </c>
      <c r="E578" s="374"/>
      <c r="F578" s="374"/>
      <c r="G578" s="375">
        <f t="shared" si="16"/>
        <v>0</v>
      </c>
      <c r="H578" s="375">
        <f t="shared" si="17"/>
        <v>0</v>
      </c>
      <c r="I578" s="376">
        <v>0</v>
      </c>
    </row>
    <row r="579" spans="1:9" x14ac:dyDescent="0.25">
      <c r="A579" s="373">
        <v>151</v>
      </c>
      <c r="B579" s="374">
        <f>PRRAS!C591</f>
        <v>578</v>
      </c>
      <c r="C579" s="374">
        <f>PRRAS!D591</f>
        <v>0</v>
      </c>
      <c r="D579" s="374">
        <f>PRRAS!E591</f>
        <v>0</v>
      </c>
      <c r="E579" s="374"/>
      <c r="F579" s="374"/>
      <c r="G579" s="375">
        <f t="shared" ref="G579:G641" si="18">(B579/1000)*(C579*1+D579*2)</f>
        <v>0</v>
      </c>
      <c r="H579" s="375">
        <f t="shared" ref="H579:H641" si="19">ABS(C579-ROUND(C579,0))+ABS(D579-ROUND(D579,0))</f>
        <v>0</v>
      </c>
      <c r="I579" s="376">
        <v>0</v>
      </c>
    </row>
    <row r="580" spans="1:9" x14ac:dyDescent="0.25">
      <c r="A580" s="373">
        <v>151</v>
      </c>
      <c r="B580" s="374">
        <f>PRRAS!C592</f>
        <v>579</v>
      </c>
      <c r="C580" s="374">
        <f>PRRAS!D592</f>
        <v>0</v>
      </c>
      <c r="D580" s="374">
        <f>PRRAS!E592</f>
        <v>0</v>
      </c>
      <c r="E580" s="374"/>
      <c r="F580" s="374"/>
      <c r="G580" s="375">
        <f t="shared" si="18"/>
        <v>0</v>
      </c>
      <c r="H580" s="375">
        <f t="shared" si="19"/>
        <v>0</v>
      </c>
      <c r="I580" s="376">
        <v>0</v>
      </c>
    </row>
    <row r="581" spans="1:9" x14ac:dyDescent="0.25">
      <c r="A581" s="373">
        <v>151</v>
      </c>
      <c r="B581" s="374">
        <f>PRRAS!C593</f>
        <v>580</v>
      </c>
      <c r="C581" s="374">
        <f>PRRAS!D593</f>
        <v>0</v>
      </c>
      <c r="D581" s="374">
        <f>PRRAS!E593</f>
        <v>0</v>
      </c>
      <c r="E581" s="374"/>
      <c r="F581" s="374"/>
      <c r="G581" s="375">
        <f t="shared" si="18"/>
        <v>0</v>
      </c>
      <c r="H581" s="375">
        <f t="shared" si="19"/>
        <v>0</v>
      </c>
      <c r="I581" s="376">
        <v>0</v>
      </c>
    </row>
    <row r="582" spans="1:9" x14ac:dyDescent="0.25">
      <c r="A582" s="373">
        <v>151</v>
      </c>
      <c r="B582" s="374">
        <f>PRRAS!C594</f>
        <v>581</v>
      </c>
      <c r="C582" s="374">
        <f>PRRAS!D594</f>
        <v>0</v>
      </c>
      <c r="D582" s="374">
        <f>PRRAS!E594</f>
        <v>0</v>
      </c>
      <c r="E582" s="374"/>
      <c r="F582" s="374"/>
      <c r="G582" s="375">
        <f t="shared" si="18"/>
        <v>0</v>
      </c>
      <c r="H582" s="375">
        <f t="shared" si="19"/>
        <v>0</v>
      </c>
      <c r="I582" s="376">
        <v>0</v>
      </c>
    </row>
    <row r="583" spans="1:9" x14ac:dyDescent="0.25">
      <c r="A583" s="373">
        <v>151</v>
      </c>
      <c r="B583" s="374">
        <f>PRRAS!C595</f>
        <v>582</v>
      </c>
      <c r="C583" s="374">
        <f>PRRAS!D595</f>
        <v>0</v>
      </c>
      <c r="D583" s="374">
        <f>PRRAS!E595</f>
        <v>0</v>
      </c>
      <c r="E583" s="374"/>
      <c r="F583" s="374"/>
      <c r="G583" s="375">
        <f t="shared" si="18"/>
        <v>0</v>
      </c>
      <c r="H583" s="375">
        <f t="shared" si="19"/>
        <v>0</v>
      </c>
      <c r="I583" s="376">
        <v>0</v>
      </c>
    </row>
    <row r="584" spans="1:9" x14ac:dyDescent="0.25">
      <c r="A584" s="373">
        <v>151</v>
      </c>
      <c r="B584" s="374">
        <f>PRRAS!C596</f>
        <v>583</v>
      </c>
      <c r="C584" s="374">
        <f>PRRAS!D596</f>
        <v>0</v>
      </c>
      <c r="D584" s="374">
        <f>PRRAS!E596</f>
        <v>0</v>
      </c>
      <c r="E584" s="374"/>
      <c r="F584" s="374"/>
      <c r="G584" s="375">
        <f t="shared" si="18"/>
        <v>0</v>
      </c>
      <c r="H584" s="375">
        <f t="shared" si="19"/>
        <v>0</v>
      </c>
      <c r="I584" s="376">
        <v>0</v>
      </c>
    </row>
    <row r="585" spans="1:9" x14ac:dyDescent="0.25">
      <c r="A585" s="373">
        <v>151</v>
      </c>
      <c r="B585" s="374">
        <f>PRRAS!C597</f>
        <v>584</v>
      </c>
      <c r="C585" s="374">
        <f>PRRAS!D597</f>
        <v>0</v>
      </c>
      <c r="D585" s="374">
        <f>PRRAS!E597</f>
        <v>0</v>
      </c>
      <c r="E585" s="374"/>
      <c r="F585" s="374"/>
      <c r="G585" s="375">
        <f t="shared" si="18"/>
        <v>0</v>
      </c>
      <c r="H585" s="375">
        <f t="shared" si="19"/>
        <v>0</v>
      </c>
      <c r="I585" s="376">
        <v>0</v>
      </c>
    </row>
    <row r="586" spans="1:9" x14ac:dyDescent="0.25">
      <c r="A586" s="373">
        <v>151</v>
      </c>
      <c r="B586" s="374">
        <f>PRRAS!C598</f>
        <v>585</v>
      </c>
      <c r="C586" s="374">
        <f>PRRAS!D598</f>
        <v>0</v>
      </c>
      <c r="D586" s="374">
        <f>PRRAS!E598</f>
        <v>0</v>
      </c>
      <c r="E586" s="374"/>
      <c r="F586" s="374"/>
      <c r="G586" s="375">
        <f t="shared" si="18"/>
        <v>0</v>
      </c>
      <c r="H586" s="375">
        <f t="shared" si="19"/>
        <v>0</v>
      </c>
      <c r="I586" s="376">
        <v>0</v>
      </c>
    </row>
    <row r="587" spans="1:9" x14ac:dyDescent="0.25">
      <c r="A587" s="373">
        <v>151</v>
      </c>
      <c r="B587" s="374">
        <f>PRRAS!C599</f>
        <v>586</v>
      </c>
      <c r="C587" s="374">
        <f>PRRAS!D599</f>
        <v>0</v>
      </c>
      <c r="D587" s="374">
        <f>PRRAS!E599</f>
        <v>0</v>
      </c>
      <c r="E587" s="374"/>
      <c r="F587" s="374"/>
      <c r="G587" s="375">
        <f t="shared" si="18"/>
        <v>0</v>
      </c>
      <c r="H587" s="375">
        <f t="shared" si="19"/>
        <v>0</v>
      </c>
      <c r="I587" s="376">
        <v>0</v>
      </c>
    </row>
    <row r="588" spans="1:9" x14ac:dyDescent="0.25">
      <c r="A588" s="373">
        <v>151</v>
      </c>
      <c r="B588" s="374">
        <f>PRRAS!C600</f>
        <v>587</v>
      </c>
      <c r="C588" s="374">
        <f>PRRAS!D600</f>
        <v>0</v>
      </c>
      <c r="D588" s="374">
        <f>PRRAS!E600</f>
        <v>0</v>
      </c>
      <c r="E588" s="374"/>
      <c r="F588" s="374"/>
      <c r="G588" s="375">
        <f t="shared" si="18"/>
        <v>0</v>
      </c>
      <c r="H588" s="375">
        <f t="shared" si="19"/>
        <v>0</v>
      </c>
      <c r="I588" s="376">
        <v>0</v>
      </c>
    </row>
    <row r="589" spans="1:9" x14ac:dyDescent="0.25">
      <c r="A589" s="373">
        <v>151</v>
      </c>
      <c r="B589" s="374">
        <f>PRRAS!C601</f>
        <v>588</v>
      </c>
      <c r="C589" s="374">
        <f>PRRAS!D601</f>
        <v>0</v>
      </c>
      <c r="D589" s="374">
        <f>PRRAS!E601</f>
        <v>0</v>
      </c>
      <c r="E589" s="374"/>
      <c r="F589" s="374"/>
      <c r="G589" s="375">
        <f t="shared" si="18"/>
        <v>0</v>
      </c>
      <c r="H589" s="375">
        <f t="shared" si="19"/>
        <v>0</v>
      </c>
      <c r="I589" s="376">
        <v>0</v>
      </c>
    </row>
    <row r="590" spans="1:9" x14ac:dyDescent="0.25">
      <c r="A590" s="373">
        <v>151</v>
      </c>
      <c r="B590" s="374">
        <f>PRRAS!C602</f>
        <v>589</v>
      </c>
      <c r="C590" s="374">
        <f>PRRAS!D602</f>
        <v>0</v>
      </c>
      <c r="D590" s="374">
        <f>PRRAS!E602</f>
        <v>0</v>
      </c>
      <c r="E590" s="374"/>
      <c r="F590" s="374"/>
      <c r="G590" s="375">
        <f t="shared" si="18"/>
        <v>0</v>
      </c>
      <c r="H590" s="375">
        <f t="shared" si="19"/>
        <v>0</v>
      </c>
      <c r="I590" s="376">
        <v>0</v>
      </c>
    </row>
    <row r="591" spans="1:9" x14ac:dyDescent="0.25">
      <c r="A591" s="373">
        <v>151</v>
      </c>
      <c r="B591" s="374">
        <f>PRRAS!C603</f>
        <v>590</v>
      </c>
      <c r="C591" s="374">
        <f>PRRAS!D603</f>
        <v>0</v>
      </c>
      <c r="D591" s="374">
        <f>PRRAS!E603</f>
        <v>0</v>
      </c>
      <c r="E591" s="374"/>
      <c r="F591" s="374"/>
      <c r="G591" s="375">
        <f t="shared" si="18"/>
        <v>0</v>
      </c>
      <c r="H591" s="375">
        <f t="shared" si="19"/>
        <v>0</v>
      </c>
      <c r="I591" s="376">
        <v>0</v>
      </c>
    </row>
    <row r="592" spans="1:9" x14ac:dyDescent="0.25">
      <c r="A592" s="373">
        <v>151</v>
      </c>
      <c r="B592" s="374">
        <f>PRRAS!C604</f>
        <v>591</v>
      </c>
      <c r="C592" s="374">
        <f>PRRAS!D604</f>
        <v>0</v>
      </c>
      <c r="D592" s="374">
        <f>PRRAS!E604</f>
        <v>0</v>
      </c>
      <c r="E592" s="374"/>
      <c r="F592" s="374"/>
      <c r="G592" s="375">
        <f t="shared" si="18"/>
        <v>0</v>
      </c>
      <c r="H592" s="375">
        <f t="shared" si="19"/>
        <v>0</v>
      </c>
      <c r="I592" s="376">
        <v>0</v>
      </c>
    </row>
    <row r="593" spans="1:9" x14ac:dyDescent="0.25">
      <c r="A593" s="373">
        <v>151</v>
      </c>
      <c r="B593" s="374">
        <f>PRRAS!C605</f>
        <v>592</v>
      </c>
      <c r="C593" s="374">
        <f>PRRAS!D605</f>
        <v>0</v>
      </c>
      <c r="D593" s="374">
        <f>PRRAS!E605</f>
        <v>0</v>
      </c>
      <c r="E593" s="374"/>
      <c r="F593" s="374"/>
      <c r="G593" s="375">
        <f t="shared" si="18"/>
        <v>0</v>
      </c>
      <c r="H593" s="375">
        <f t="shared" si="19"/>
        <v>0</v>
      </c>
      <c r="I593" s="376">
        <v>0</v>
      </c>
    </row>
    <row r="594" spans="1:9" x14ac:dyDescent="0.25">
      <c r="A594" s="373">
        <v>151</v>
      </c>
      <c r="B594" s="374">
        <f>PRRAS!C606</f>
        <v>593</v>
      </c>
      <c r="C594" s="374">
        <f>PRRAS!D606</f>
        <v>0</v>
      </c>
      <c r="D594" s="374">
        <f>PRRAS!E606</f>
        <v>0</v>
      </c>
      <c r="E594" s="374"/>
      <c r="F594" s="374"/>
      <c r="G594" s="375">
        <f t="shared" si="18"/>
        <v>0</v>
      </c>
      <c r="H594" s="375">
        <f t="shared" si="19"/>
        <v>0</v>
      </c>
      <c r="I594" s="376">
        <v>0</v>
      </c>
    </row>
    <row r="595" spans="1:9" x14ac:dyDescent="0.25">
      <c r="A595" s="373">
        <v>151</v>
      </c>
      <c r="B595" s="374">
        <f>PRRAS!C607</f>
        <v>594</v>
      </c>
      <c r="C595" s="374">
        <f>PRRAS!D607</f>
        <v>0</v>
      </c>
      <c r="D595" s="374">
        <f>PRRAS!E607</f>
        <v>0</v>
      </c>
      <c r="E595" s="374"/>
      <c r="F595" s="374"/>
      <c r="G595" s="375">
        <f t="shared" si="18"/>
        <v>0</v>
      </c>
      <c r="H595" s="375">
        <f t="shared" si="19"/>
        <v>0</v>
      </c>
      <c r="I595" s="376">
        <v>0</v>
      </c>
    </row>
    <row r="596" spans="1:9" x14ac:dyDescent="0.25">
      <c r="A596" s="373">
        <v>151</v>
      </c>
      <c r="B596" s="374">
        <f>PRRAS!C608</f>
        <v>595</v>
      </c>
      <c r="C596" s="374">
        <f>PRRAS!D608</f>
        <v>0</v>
      </c>
      <c r="D596" s="374">
        <f>PRRAS!E608</f>
        <v>0</v>
      </c>
      <c r="E596" s="374"/>
      <c r="F596" s="374"/>
      <c r="G596" s="375">
        <f t="shared" si="18"/>
        <v>0</v>
      </c>
      <c r="H596" s="375">
        <f t="shared" si="19"/>
        <v>0</v>
      </c>
      <c r="I596" s="376">
        <v>0</v>
      </c>
    </row>
    <row r="597" spans="1:9" x14ac:dyDescent="0.25">
      <c r="A597" s="373">
        <v>151</v>
      </c>
      <c r="B597" s="374">
        <f>PRRAS!C609</f>
        <v>596</v>
      </c>
      <c r="C597" s="374">
        <f>PRRAS!D609</f>
        <v>0</v>
      </c>
      <c r="D597" s="374">
        <f>PRRAS!E609</f>
        <v>0</v>
      </c>
      <c r="E597" s="374"/>
      <c r="F597" s="374"/>
      <c r="G597" s="375">
        <f t="shared" si="18"/>
        <v>0</v>
      </c>
      <c r="H597" s="375">
        <f t="shared" si="19"/>
        <v>0</v>
      </c>
      <c r="I597" s="376">
        <v>0</v>
      </c>
    </row>
    <row r="598" spans="1:9" x14ac:dyDescent="0.25">
      <c r="A598" s="373">
        <v>151</v>
      </c>
      <c r="B598" s="374">
        <f>PRRAS!C610</f>
        <v>597</v>
      </c>
      <c r="C598" s="374">
        <f>PRRAS!D610</f>
        <v>65900</v>
      </c>
      <c r="D598" s="374">
        <f>PRRAS!E610</f>
        <v>65900</v>
      </c>
      <c r="E598" s="374"/>
      <c r="F598" s="374"/>
      <c r="G598" s="375">
        <f t="shared" si="18"/>
        <v>118026.9</v>
      </c>
      <c r="H598" s="375">
        <f t="shared" si="19"/>
        <v>0</v>
      </c>
      <c r="I598" s="376">
        <v>0</v>
      </c>
    </row>
    <row r="599" spans="1:9" x14ac:dyDescent="0.25">
      <c r="A599" s="373">
        <v>151</v>
      </c>
      <c r="B599" s="374">
        <f>PRRAS!C611</f>
        <v>598</v>
      </c>
      <c r="C599" s="374">
        <f>PRRAS!D611</f>
        <v>3117130</v>
      </c>
      <c r="D599" s="374">
        <f>PRRAS!E611</f>
        <v>3203693</v>
      </c>
      <c r="E599" s="374"/>
      <c r="F599" s="374"/>
      <c r="G599" s="375">
        <f t="shared" si="18"/>
        <v>5695660.568</v>
      </c>
      <c r="H599" s="375">
        <f t="shared" si="19"/>
        <v>0</v>
      </c>
      <c r="I599" s="376">
        <v>0</v>
      </c>
    </row>
    <row r="600" spans="1:9" x14ac:dyDescent="0.25">
      <c r="A600" s="373">
        <v>151</v>
      </c>
      <c r="B600" s="374">
        <f>PRRAS!C612</f>
        <v>599</v>
      </c>
      <c r="C600" s="374">
        <f>PRRAS!D612</f>
        <v>2989421</v>
      </c>
      <c r="D600" s="374">
        <f>PRRAS!E612</f>
        <v>3329441</v>
      </c>
      <c r="E600" s="374"/>
      <c r="F600" s="374"/>
      <c r="G600" s="375">
        <f t="shared" si="18"/>
        <v>5779333.4969999995</v>
      </c>
      <c r="H600" s="375">
        <f t="shared" si="19"/>
        <v>0</v>
      </c>
      <c r="I600" s="376">
        <v>0</v>
      </c>
    </row>
    <row r="601" spans="1:9" x14ac:dyDescent="0.25">
      <c r="A601" s="373">
        <v>151</v>
      </c>
      <c r="B601" s="374">
        <f>PRRAS!C613</f>
        <v>600</v>
      </c>
      <c r="C601" s="374">
        <f>PRRAS!D613</f>
        <v>127709</v>
      </c>
      <c r="D601" s="374">
        <f>PRRAS!E613</f>
        <v>0</v>
      </c>
      <c r="E601" s="374"/>
      <c r="F601" s="374"/>
      <c r="G601" s="375">
        <f t="shared" si="18"/>
        <v>76625.399999999994</v>
      </c>
      <c r="H601" s="375">
        <f t="shared" si="19"/>
        <v>0</v>
      </c>
      <c r="I601" s="376">
        <v>0</v>
      </c>
    </row>
    <row r="602" spans="1:9" x14ac:dyDescent="0.25">
      <c r="A602" s="373">
        <v>151</v>
      </c>
      <c r="B602" s="374">
        <f>PRRAS!C614</f>
        <v>601</v>
      </c>
      <c r="C602" s="374">
        <f>PRRAS!D614</f>
        <v>0</v>
      </c>
      <c r="D602" s="374">
        <f>PRRAS!E614</f>
        <v>125748</v>
      </c>
      <c r="E602" s="374"/>
      <c r="F602" s="374"/>
      <c r="G602" s="375">
        <f t="shared" si="18"/>
        <v>151149.09599999999</v>
      </c>
      <c r="H602" s="375">
        <f t="shared" si="19"/>
        <v>0</v>
      </c>
      <c r="I602" s="376">
        <v>0</v>
      </c>
    </row>
    <row r="603" spans="1:9" x14ac:dyDescent="0.25">
      <c r="A603" s="373">
        <v>151</v>
      </c>
      <c r="B603" s="374">
        <f>PRRAS!C615</f>
        <v>602</v>
      </c>
      <c r="C603" s="374">
        <f>PRRAS!D615</f>
        <v>102309</v>
      </c>
      <c r="D603" s="374">
        <f>PRRAS!E615</f>
        <v>230016</v>
      </c>
      <c r="E603" s="374"/>
      <c r="F603" s="374"/>
      <c r="G603" s="375">
        <f t="shared" si="18"/>
        <v>338529.28200000001</v>
      </c>
      <c r="H603" s="375">
        <f t="shared" si="19"/>
        <v>0</v>
      </c>
      <c r="I603" s="376">
        <v>0</v>
      </c>
    </row>
    <row r="604" spans="1:9" x14ac:dyDescent="0.25">
      <c r="A604" s="373">
        <v>151</v>
      </c>
      <c r="B604" s="374">
        <f>PRRAS!C616</f>
        <v>603</v>
      </c>
      <c r="C604" s="374">
        <f>PRRAS!D616</f>
        <v>0</v>
      </c>
      <c r="D604" s="374">
        <f>PRRAS!E616</f>
        <v>0</v>
      </c>
      <c r="E604" s="374"/>
      <c r="F604" s="374"/>
      <c r="G604" s="375">
        <f t="shared" si="18"/>
        <v>0</v>
      </c>
      <c r="H604" s="375">
        <f t="shared" si="19"/>
        <v>0</v>
      </c>
      <c r="I604" s="376">
        <v>0</v>
      </c>
    </row>
    <row r="605" spans="1:9" x14ac:dyDescent="0.25">
      <c r="A605" s="373">
        <v>151</v>
      </c>
      <c r="B605" s="374">
        <f>PRRAS!C617</f>
        <v>604</v>
      </c>
      <c r="C605" s="374">
        <f>PRRAS!D617</f>
        <v>230018</v>
      </c>
      <c r="D605" s="374">
        <f>PRRAS!E617</f>
        <v>104268</v>
      </c>
      <c r="E605" s="374"/>
      <c r="F605" s="374"/>
      <c r="G605" s="375">
        <f t="shared" si="18"/>
        <v>264886.61599999998</v>
      </c>
      <c r="H605" s="375">
        <f t="shared" si="19"/>
        <v>0</v>
      </c>
      <c r="I605" s="376">
        <v>0</v>
      </c>
    </row>
    <row r="606" spans="1:9" x14ac:dyDescent="0.25">
      <c r="A606" s="373">
        <v>151</v>
      </c>
      <c r="B606" s="374">
        <f>PRRAS!C618</f>
        <v>605</v>
      </c>
      <c r="C606" s="374">
        <f>PRRAS!D618</f>
        <v>0</v>
      </c>
      <c r="D606" s="374">
        <f>PRRAS!E618</f>
        <v>0</v>
      </c>
      <c r="E606" s="374"/>
      <c r="F606" s="374"/>
      <c r="G606" s="375">
        <f t="shared" si="18"/>
        <v>0</v>
      </c>
      <c r="H606" s="375">
        <f t="shared" si="19"/>
        <v>0</v>
      </c>
      <c r="I606" s="376">
        <v>0</v>
      </c>
    </row>
    <row r="607" spans="1:9" x14ac:dyDescent="0.25">
      <c r="A607" s="373">
        <v>151</v>
      </c>
      <c r="B607" s="374">
        <f>PRRAS!C619</f>
        <v>606</v>
      </c>
      <c r="C607" s="374">
        <f>PRRAS!D619</f>
        <v>0</v>
      </c>
      <c r="D607" s="374">
        <f>PRRAS!E619</f>
        <v>0</v>
      </c>
      <c r="E607" s="374"/>
      <c r="F607" s="374"/>
      <c r="G607" s="375">
        <f t="shared" si="18"/>
        <v>0</v>
      </c>
      <c r="H607" s="375">
        <f t="shared" si="19"/>
        <v>0</v>
      </c>
      <c r="I607" s="376">
        <v>0</v>
      </c>
    </row>
    <row r="608" spans="1:9" x14ac:dyDescent="0.25">
      <c r="A608" s="373">
        <v>151</v>
      </c>
      <c r="B608" s="374">
        <f>PRRAS!C621</f>
        <v>607</v>
      </c>
      <c r="C608" s="374">
        <f>PRRAS!D621</f>
        <v>443931</v>
      </c>
      <c r="D608" s="374">
        <f>PRRAS!E621</f>
        <v>156053</v>
      </c>
      <c r="E608" s="374"/>
      <c r="F608" s="374"/>
      <c r="G608" s="375">
        <f t="shared" si="18"/>
        <v>458914.45899999997</v>
      </c>
      <c r="H608" s="375">
        <f t="shared" si="19"/>
        <v>0</v>
      </c>
      <c r="I608" s="376">
        <v>0</v>
      </c>
    </row>
    <row r="609" spans="1:9" x14ac:dyDescent="0.25">
      <c r="A609" s="373">
        <v>151</v>
      </c>
      <c r="B609" s="374">
        <f>PRRAS!C622</f>
        <v>608</v>
      </c>
      <c r="C609" s="374">
        <f>PRRAS!D622</f>
        <v>1165961</v>
      </c>
      <c r="D609" s="374">
        <f>PRRAS!E622</f>
        <v>1229200</v>
      </c>
      <c r="E609" s="374"/>
      <c r="F609" s="374"/>
      <c r="G609" s="375">
        <f t="shared" si="18"/>
        <v>2203611.4879999999</v>
      </c>
      <c r="H609" s="375">
        <f t="shared" si="19"/>
        <v>0</v>
      </c>
      <c r="I609" s="376">
        <v>0</v>
      </c>
    </row>
    <row r="610" spans="1:9" x14ac:dyDescent="0.25">
      <c r="A610" s="373">
        <v>151</v>
      </c>
      <c r="B610" s="374">
        <f>PRRAS!C623</f>
        <v>609</v>
      </c>
      <c r="C610" s="374">
        <f>PRRAS!D623</f>
        <v>1133772</v>
      </c>
      <c r="D610" s="374">
        <f>PRRAS!E623</f>
        <v>947466</v>
      </c>
      <c r="E610" s="374"/>
      <c r="F610" s="374"/>
      <c r="G610" s="375">
        <f t="shared" si="18"/>
        <v>1844480.736</v>
      </c>
      <c r="H610" s="375">
        <f t="shared" si="19"/>
        <v>0</v>
      </c>
      <c r="I610" s="376">
        <v>0</v>
      </c>
    </row>
    <row r="611" spans="1:9" x14ac:dyDescent="0.25">
      <c r="A611" s="373">
        <v>151</v>
      </c>
      <c r="B611" s="374">
        <f>PRRAS!C624</f>
        <v>610</v>
      </c>
      <c r="C611" s="374">
        <f>PRRAS!D624</f>
        <v>476120</v>
      </c>
      <c r="D611" s="374">
        <f>PRRAS!E624</f>
        <v>437787</v>
      </c>
      <c r="E611" s="374"/>
      <c r="F611" s="374"/>
      <c r="G611" s="375">
        <f t="shared" si="18"/>
        <v>824533.34</v>
      </c>
      <c r="H611" s="375">
        <f t="shared" si="19"/>
        <v>0</v>
      </c>
      <c r="I611" s="376">
        <v>0</v>
      </c>
    </row>
    <row r="612" spans="1:9" x14ac:dyDescent="0.25">
      <c r="A612" s="373">
        <v>151</v>
      </c>
      <c r="B612" s="374">
        <f>PRRAS!C625</f>
        <v>611</v>
      </c>
      <c r="C612" s="374">
        <f>PRRAS!D625</f>
        <v>5</v>
      </c>
      <c r="D612" s="374">
        <f>PRRAS!E625</f>
        <v>5</v>
      </c>
      <c r="E612" s="374"/>
      <c r="F612" s="374"/>
      <c r="G612" s="375">
        <f t="shared" si="18"/>
        <v>9.1649999999999991</v>
      </c>
      <c r="H612" s="375">
        <f t="shared" si="19"/>
        <v>0</v>
      </c>
      <c r="I612" s="376">
        <v>0</v>
      </c>
    </row>
    <row r="613" spans="1:9" x14ac:dyDescent="0.25">
      <c r="A613" s="373">
        <v>151</v>
      </c>
      <c r="B613" s="374">
        <f>PRRAS!C626</f>
        <v>612</v>
      </c>
      <c r="C613" s="374">
        <f>PRRAS!D626</f>
        <v>0</v>
      </c>
      <c r="D613" s="374">
        <f>PRRAS!E626</f>
        <v>0</v>
      </c>
      <c r="E613" s="374"/>
      <c r="F613" s="374"/>
      <c r="G613" s="375">
        <f t="shared" si="18"/>
        <v>0</v>
      </c>
      <c r="H613" s="375">
        <f t="shared" si="19"/>
        <v>0</v>
      </c>
      <c r="I613" s="376">
        <v>0</v>
      </c>
    </row>
    <row r="614" spans="1:9" x14ac:dyDescent="0.25">
      <c r="A614" s="373">
        <v>151</v>
      </c>
      <c r="B614" s="374">
        <f>PRRAS!C627</f>
        <v>613</v>
      </c>
      <c r="C614" s="374">
        <f>PRRAS!D627</f>
        <v>5</v>
      </c>
      <c r="D614" s="374">
        <f>PRRAS!E627</f>
        <v>4</v>
      </c>
      <c r="E614" s="374"/>
      <c r="F614" s="374"/>
      <c r="G614" s="375">
        <f t="shared" si="18"/>
        <v>7.9689999999999994</v>
      </c>
      <c r="H614" s="375">
        <f t="shared" si="19"/>
        <v>0</v>
      </c>
      <c r="I614" s="376">
        <v>0</v>
      </c>
    </row>
    <row r="615" spans="1:9" x14ac:dyDescent="0.25">
      <c r="A615" s="373">
        <v>151</v>
      </c>
      <c r="B615" s="374">
        <f>PRRAS!C628</f>
        <v>614</v>
      </c>
      <c r="C615" s="374">
        <f>PRRAS!D628</f>
        <v>0</v>
      </c>
      <c r="D615" s="374">
        <f>PRRAS!E628</f>
        <v>0</v>
      </c>
      <c r="E615" s="374"/>
      <c r="F615" s="374"/>
      <c r="G615" s="375">
        <f t="shared" si="18"/>
        <v>0</v>
      </c>
      <c r="H615" s="375">
        <f t="shared" si="19"/>
        <v>0</v>
      </c>
      <c r="I615" s="376">
        <v>0</v>
      </c>
    </row>
    <row r="616" spans="1:9" x14ac:dyDescent="0.25">
      <c r="A616" s="373">
        <v>151</v>
      </c>
      <c r="B616" s="374">
        <f>PRRAS!C629</f>
        <v>615</v>
      </c>
      <c r="C616" s="374">
        <f>PRRAS!D629</f>
        <v>0</v>
      </c>
      <c r="D616" s="374">
        <f>PRRAS!E629</f>
        <v>0</v>
      </c>
      <c r="E616" s="374"/>
      <c r="F616" s="374"/>
      <c r="G616" s="375">
        <f t="shared" si="18"/>
        <v>0</v>
      </c>
      <c r="H616" s="375">
        <f t="shared" si="19"/>
        <v>0</v>
      </c>
      <c r="I616" s="376">
        <v>0</v>
      </c>
    </row>
    <row r="617" spans="1:9" x14ac:dyDescent="0.25">
      <c r="A617" s="373">
        <v>151</v>
      </c>
      <c r="B617" s="374">
        <f>PRRAS!C630</f>
        <v>616</v>
      </c>
      <c r="C617" s="374">
        <f>PRRAS!D630</f>
        <v>0</v>
      </c>
      <c r="D617" s="374">
        <f>PRRAS!E630</f>
        <v>0</v>
      </c>
      <c r="E617" s="374"/>
      <c r="F617" s="374"/>
      <c r="G617" s="375">
        <f t="shared" si="18"/>
        <v>0</v>
      </c>
      <c r="H617" s="375">
        <f t="shared" si="19"/>
        <v>0</v>
      </c>
      <c r="I617" s="376">
        <v>0</v>
      </c>
    </row>
    <row r="618" spans="1:9" x14ac:dyDescent="0.25">
      <c r="A618" s="373">
        <v>151</v>
      </c>
      <c r="B618" s="374">
        <f>PRRAS!C631</f>
        <v>617</v>
      </c>
      <c r="C618" s="374">
        <f>PRRAS!D631</f>
        <v>0</v>
      </c>
      <c r="D618" s="374">
        <f>PRRAS!E631</f>
        <v>0</v>
      </c>
      <c r="E618" s="374"/>
      <c r="F618" s="374"/>
      <c r="G618" s="375">
        <f t="shared" si="18"/>
        <v>0</v>
      </c>
      <c r="H618" s="375">
        <f t="shared" si="19"/>
        <v>0</v>
      </c>
      <c r="I618" s="376">
        <v>0</v>
      </c>
    </row>
    <row r="619" spans="1:9" x14ac:dyDescent="0.25">
      <c r="A619" s="373">
        <v>151</v>
      </c>
      <c r="B619" s="374">
        <f>PRRAS!C632</f>
        <v>618</v>
      </c>
      <c r="C619" s="374">
        <f>PRRAS!D632</f>
        <v>13600</v>
      </c>
      <c r="D619" s="374">
        <f>PRRAS!E632</f>
        <v>11162</v>
      </c>
      <c r="E619" s="374"/>
      <c r="F619" s="374"/>
      <c r="G619" s="375">
        <f t="shared" si="18"/>
        <v>22201.031999999999</v>
      </c>
      <c r="H619" s="375">
        <f t="shared" si="19"/>
        <v>0</v>
      </c>
      <c r="I619" s="376">
        <v>0</v>
      </c>
    </row>
    <row r="620" spans="1:9" x14ac:dyDescent="0.25">
      <c r="A620" s="373">
        <v>151</v>
      </c>
      <c r="B620" s="374">
        <f>PRRAS!C633</f>
        <v>619</v>
      </c>
      <c r="C620" s="374">
        <f>PRRAS!D633</f>
        <v>177689</v>
      </c>
      <c r="D620" s="374">
        <f>PRRAS!E633</f>
        <v>50724</v>
      </c>
      <c r="E620" s="374"/>
      <c r="F620" s="374"/>
      <c r="G620" s="375">
        <f t="shared" si="18"/>
        <v>172785.80299999999</v>
      </c>
      <c r="H620" s="375">
        <f t="shared" si="19"/>
        <v>0</v>
      </c>
      <c r="I620" s="376">
        <v>0</v>
      </c>
    </row>
    <row r="621" spans="1:9" x14ac:dyDescent="0.25">
      <c r="A621" s="373">
        <v>151</v>
      </c>
      <c r="B621" s="374">
        <f>PRRAS!C634</f>
        <v>620</v>
      </c>
      <c r="C621" s="374">
        <f>PRRAS!D634</f>
        <v>109218</v>
      </c>
      <c r="D621" s="374">
        <f>PRRAS!E634</f>
        <v>65550</v>
      </c>
      <c r="E621" s="374"/>
      <c r="F621" s="374"/>
      <c r="G621" s="375">
        <f t="shared" si="18"/>
        <v>148997.16</v>
      </c>
      <c r="H621" s="375">
        <f t="shared" si="19"/>
        <v>0</v>
      </c>
      <c r="I621" s="376">
        <v>0</v>
      </c>
    </row>
    <row r="622" spans="1:9" x14ac:dyDescent="0.25">
      <c r="A622" s="373">
        <v>151</v>
      </c>
      <c r="B622" s="374">
        <f>PRRAS!C635</f>
        <v>621</v>
      </c>
      <c r="C622" s="374">
        <f>PRRAS!D635</f>
        <v>0</v>
      </c>
      <c r="D622" s="374">
        <f>PRRAS!E635</f>
        <v>0</v>
      </c>
      <c r="E622" s="374"/>
      <c r="F622" s="374"/>
      <c r="G622" s="375">
        <f t="shared" si="18"/>
        <v>0</v>
      </c>
      <c r="H622" s="375">
        <f t="shared" si="19"/>
        <v>0</v>
      </c>
      <c r="I622" s="376">
        <v>0</v>
      </c>
    </row>
    <row r="623" spans="1:9" x14ac:dyDescent="0.25">
      <c r="A623" s="373">
        <v>151</v>
      </c>
      <c r="B623" s="374">
        <f>PRRAS!C636</f>
        <v>622</v>
      </c>
      <c r="C623" s="374">
        <f>PRRAS!D636</f>
        <v>0</v>
      </c>
      <c r="D623" s="374">
        <f>PRRAS!E636</f>
        <v>0</v>
      </c>
      <c r="E623" s="374"/>
      <c r="F623" s="374"/>
      <c r="G623" s="375">
        <f t="shared" si="18"/>
        <v>0</v>
      </c>
      <c r="H623" s="375">
        <f t="shared" si="19"/>
        <v>0</v>
      </c>
      <c r="I623" s="376">
        <v>0</v>
      </c>
    </row>
    <row r="624" spans="1:9" x14ac:dyDescent="0.25">
      <c r="A624" s="373">
        <v>151</v>
      </c>
      <c r="B624" s="374">
        <f>PRRAS!C637</f>
        <v>623</v>
      </c>
      <c r="C624" s="374">
        <f>PRRAS!D637</f>
        <v>0</v>
      </c>
      <c r="D624" s="374">
        <f>PRRAS!E637</f>
        <v>0</v>
      </c>
      <c r="E624" s="374"/>
      <c r="F624" s="374"/>
      <c r="G624" s="375">
        <f t="shared" si="18"/>
        <v>0</v>
      </c>
      <c r="H624" s="375">
        <f t="shared" si="19"/>
        <v>0</v>
      </c>
      <c r="I624" s="376">
        <v>0</v>
      </c>
    </row>
    <row r="625" spans="1:9" x14ac:dyDescent="0.25">
      <c r="A625" s="373">
        <v>151</v>
      </c>
      <c r="B625" s="374">
        <f>PRRAS!C638</f>
        <v>624</v>
      </c>
      <c r="C625" s="374">
        <f>PRRAS!D638</f>
        <v>297495</v>
      </c>
      <c r="D625" s="374">
        <f>PRRAS!E638</f>
        <v>504459</v>
      </c>
      <c r="E625" s="374"/>
      <c r="F625" s="374"/>
      <c r="G625" s="375">
        <f t="shared" si="18"/>
        <v>815201.71199999994</v>
      </c>
      <c r="H625" s="375">
        <f t="shared" si="19"/>
        <v>0</v>
      </c>
      <c r="I625" s="376">
        <v>0</v>
      </c>
    </row>
    <row r="626" spans="1:9" x14ac:dyDescent="0.25">
      <c r="A626" s="373">
        <v>151</v>
      </c>
      <c r="B626" s="374">
        <f>PRRAS!C639</f>
        <v>625</v>
      </c>
      <c r="C626" s="374">
        <f>PRRAS!D639</f>
        <v>0</v>
      </c>
      <c r="D626" s="374">
        <f>PRRAS!E639</f>
        <v>0</v>
      </c>
      <c r="E626" s="374"/>
      <c r="F626" s="374"/>
      <c r="G626" s="375">
        <f t="shared" si="18"/>
        <v>0</v>
      </c>
      <c r="H626" s="375">
        <f t="shared" si="19"/>
        <v>0</v>
      </c>
      <c r="I626" s="376">
        <v>0</v>
      </c>
    </row>
    <row r="627" spans="1:9" x14ac:dyDescent="0.25">
      <c r="A627" s="373">
        <v>151</v>
      </c>
      <c r="B627" s="374">
        <f>PRRAS!C640</f>
        <v>626</v>
      </c>
      <c r="C627" s="374">
        <f>PRRAS!D640</f>
        <v>0</v>
      </c>
      <c r="D627" s="374">
        <f>PRRAS!E640</f>
        <v>0</v>
      </c>
      <c r="E627" s="374"/>
      <c r="F627" s="374"/>
      <c r="G627" s="375">
        <f t="shared" si="18"/>
        <v>0</v>
      </c>
      <c r="H627" s="375">
        <f t="shared" si="19"/>
        <v>0</v>
      </c>
      <c r="I627" s="376">
        <v>0</v>
      </c>
    </row>
    <row r="628" spans="1:9" x14ac:dyDescent="0.25">
      <c r="A628" s="373">
        <v>151</v>
      </c>
      <c r="B628" s="374">
        <f>PRRAS!C641</f>
        <v>627</v>
      </c>
      <c r="C628" s="374">
        <f>PRRAS!D641</f>
        <v>0</v>
      </c>
      <c r="D628" s="374">
        <f>PRRAS!E641</f>
        <v>0</v>
      </c>
      <c r="E628" s="374"/>
      <c r="F628" s="374"/>
      <c r="G628" s="375">
        <f t="shared" si="18"/>
        <v>0</v>
      </c>
      <c r="H628" s="375">
        <f t="shared" si="19"/>
        <v>0</v>
      </c>
      <c r="I628" s="376">
        <v>0</v>
      </c>
    </row>
    <row r="629" spans="1:9" x14ac:dyDescent="0.25">
      <c r="A629" s="373">
        <v>151</v>
      </c>
      <c r="B629" s="374">
        <f>PRRAS!C642</f>
        <v>628</v>
      </c>
      <c r="C629" s="374">
        <f>PRRAS!D642</f>
        <v>0</v>
      </c>
      <c r="D629" s="374">
        <f>PRRAS!E642</f>
        <v>0</v>
      </c>
      <c r="E629" s="374"/>
      <c r="F629" s="374"/>
      <c r="G629" s="375">
        <f t="shared" si="18"/>
        <v>0</v>
      </c>
      <c r="H629" s="375">
        <f t="shared" si="19"/>
        <v>0</v>
      </c>
      <c r="I629" s="376">
        <v>0</v>
      </c>
    </row>
    <row r="630" spans="1:9" x14ac:dyDescent="0.25">
      <c r="A630" s="373">
        <v>151</v>
      </c>
      <c r="B630" s="374">
        <f>PRRAS!C643</f>
        <v>629</v>
      </c>
      <c r="C630" s="374">
        <f>PRRAS!D643</f>
        <v>0</v>
      </c>
      <c r="D630" s="374">
        <f>PRRAS!E643</f>
        <v>0</v>
      </c>
      <c r="E630" s="374"/>
      <c r="F630" s="374"/>
      <c r="G630" s="375">
        <f t="shared" si="18"/>
        <v>0</v>
      </c>
      <c r="H630" s="375">
        <f t="shared" si="19"/>
        <v>0</v>
      </c>
      <c r="I630" s="376">
        <v>0</v>
      </c>
    </row>
    <row r="631" spans="1:9" x14ac:dyDescent="0.25">
      <c r="A631" s="373">
        <v>151</v>
      </c>
      <c r="B631" s="374">
        <f>PRRAS!C644</f>
        <v>630</v>
      </c>
      <c r="C631" s="374">
        <f>PRRAS!D644</f>
        <v>0</v>
      </c>
      <c r="D631" s="374">
        <f>PRRAS!E644</f>
        <v>0</v>
      </c>
      <c r="E631" s="374"/>
      <c r="F631" s="374"/>
      <c r="G631" s="375">
        <f t="shared" si="18"/>
        <v>0</v>
      </c>
      <c r="H631" s="375">
        <f t="shared" si="19"/>
        <v>0</v>
      </c>
      <c r="I631" s="376">
        <v>0</v>
      </c>
    </row>
    <row r="632" spans="1:9" x14ac:dyDescent="0.25">
      <c r="A632" s="373">
        <v>151</v>
      </c>
      <c r="B632" s="374">
        <f>PRRAS!C645</f>
        <v>631</v>
      </c>
      <c r="C632" s="374">
        <f>PRRAS!D645</f>
        <v>0</v>
      </c>
      <c r="D632" s="374">
        <f>PRRAS!E645</f>
        <v>0</v>
      </c>
      <c r="E632" s="374"/>
      <c r="F632" s="374"/>
      <c r="G632" s="375">
        <f t="shared" si="18"/>
        <v>0</v>
      </c>
      <c r="H632" s="375">
        <f t="shared" si="19"/>
        <v>0</v>
      </c>
      <c r="I632" s="376">
        <v>0</v>
      </c>
    </row>
    <row r="633" spans="1:9" x14ac:dyDescent="0.25">
      <c r="A633" s="373">
        <v>151</v>
      </c>
      <c r="B633" s="374">
        <f>PRRAS!C646</f>
        <v>632</v>
      </c>
      <c r="C633" s="374">
        <f>PRRAS!D646</f>
        <v>0</v>
      </c>
      <c r="D633" s="374">
        <f>PRRAS!E646</f>
        <v>0</v>
      </c>
      <c r="E633" s="374"/>
      <c r="F633" s="374"/>
      <c r="G633" s="375">
        <f t="shared" si="18"/>
        <v>0</v>
      </c>
      <c r="H633" s="375">
        <f t="shared" si="19"/>
        <v>0</v>
      </c>
      <c r="I633" s="376">
        <v>0</v>
      </c>
    </row>
    <row r="634" spans="1:9" x14ac:dyDescent="0.25">
      <c r="A634" s="373">
        <v>151</v>
      </c>
      <c r="B634" s="374">
        <f>PRRAS!C647</f>
        <v>633</v>
      </c>
      <c r="C634" s="374">
        <f>PRRAS!D647</f>
        <v>0</v>
      </c>
      <c r="D634" s="374">
        <f>PRRAS!E647</f>
        <v>0</v>
      </c>
      <c r="E634" s="374"/>
      <c r="F634" s="374"/>
      <c r="G634" s="375">
        <f t="shared" si="18"/>
        <v>0</v>
      </c>
      <c r="H634" s="375">
        <f t="shared" si="19"/>
        <v>0</v>
      </c>
      <c r="I634" s="376">
        <v>0</v>
      </c>
    </row>
    <row r="635" spans="1:9" x14ac:dyDescent="0.25">
      <c r="A635" s="373">
        <v>151</v>
      </c>
      <c r="B635" s="374">
        <f>PRRAS!C648</f>
        <v>634</v>
      </c>
      <c r="C635" s="374">
        <f>PRRAS!D648</f>
        <v>0</v>
      </c>
      <c r="D635" s="374">
        <f>PRRAS!E648</f>
        <v>0</v>
      </c>
      <c r="E635" s="374"/>
      <c r="F635" s="374"/>
      <c r="G635" s="375">
        <f t="shared" si="18"/>
        <v>0</v>
      </c>
      <c r="H635" s="375">
        <f t="shared" si="19"/>
        <v>0</v>
      </c>
      <c r="I635" s="376">
        <v>0</v>
      </c>
    </row>
    <row r="636" spans="1:9" x14ac:dyDescent="0.25">
      <c r="A636" s="373">
        <v>151</v>
      </c>
      <c r="B636" s="374">
        <f>PRRAS!C649</f>
        <v>635</v>
      </c>
      <c r="C636" s="374">
        <f>PRRAS!D649</f>
        <v>0</v>
      </c>
      <c r="D636" s="374">
        <f>PRRAS!E649</f>
        <v>0</v>
      </c>
      <c r="E636" s="374"/>
      <c r="F636" s="374"/>
      <c r="G636" s="375">
        <f t="shared" si="18"/>
        <v>0</v>
      </c>
      <c r="H636" s="375">
        <f t="shared" si="19"/>
        <v>0</v>
      </c>
      <c r="I636" s="376">
        <v>0</v>
      </c>
    </row>
    <row r="637" spans="1:9" x14ac:dyDescent="0.25">
      <c r="A637" s="373">
        <v>151</v>
      </c>
      <c r="B637" s="374">
        <f>PRRAS!C650</f>
        <v>636</v>
      </c>
      <c r="C637" s="374">
        <f>PRRAS!D650</f>
        <v>0</v>
      </c>
      <c r="D637" s="374">
        <f>PRRAS!E650</f>
        <v>0</v>
      </c>
      <c r="E637" s="374"/>
      <c r="F637" s="374"/>
      <c r="G637" s="375">
        <f t="shared" si="18"/>
        <v>0</v>
      </c>
      <c r="H637" s="375">
        <f t="shared" si="19"/>
        <v>0</v>
      </c>
      <c r="I637" s="376">
        <v>0</v>
      </c>
    </row>
    <row r="638" spans="1:9" x14ac:dyDescent="0.25">
      <c r="A638" s="373">
        <v>151</v>
      </c>
      <c r="B638" s="374">
        <f>PRRAS!C651</f>
        <v>637</v>
      </c>
      <c r="C638" s="374">
        <f>PRRAS!D651</f>
        <v>0</v>
      </c>
      <c r="D638" s="374">
        <f>PRRAS!E651</f>
        <v>0</v>
      </c>
      <c r="E638" s="374"/>
      <c r="F638" s="374"/>
      <c r="G638" s="375">
        <f t="shared" si="18"/>
        <v>0</v>
      </c>
      <c r="H638" s="375">
        <f t="shared" si="19"/>
        <v>0</v>
      </c>
      <c r="I638" s="376">
        <v>0</v>
      </c>
    </row>
    <row r="639" spans="1:9" x14ac:dyDescent="0.25">
      <c r="A639" s="373">
        <v>151</v>
      </c>
      <c r="B639" s="374">
        <f>PRRAS!C652</f>
        <v>638</v>
      </c>
      <c r="C639" s="374">
        <f>PRRAS!D652</f>
        <v>0</v>
      </c>
      <c r="D639" s="374">
        <f>PRRAS!E652</f>
        <v>0</v>
      </c>
      <c r="E639" s="374"/>
      <c r="F639" s="374"/>
      <c r="G639" s="375">
        <f t="shared" si="18"/>
        <v>0</v>
      </c>
      <c r="H639" s="375">
        <f t="shared" si="19"/>
        <v>0</v>
      </c>
      <c r="I639" s="376">
        <v>0</v>
      </c>
    </row>
    <row r="640" spans="1:9" x14ac:dyDescent="0.25">
      <c r="A640" s="373">
        <v>151</v>
      </c>
      <c r="B640" s="374">
        <f>PRRAS!C653</f>
        <v>639</v>
      </c>
      <c r="C640" s="374">
        <f>PRRAS!D653</f>
        <v>0</v>
      </c>
      <c r="D640" s="374">
        <f>PRRAS!E653</f>
        <v>0</v>
      </c>
      <c r="E640" s="374"/>
      <c r="F640" s="374"/>
      <c r="G640" s="375">
        <f t="shared" si="18"/>
        <v>0</v>
      </c>
      <c r="H640" s="375">
        <f t="shared" si="19"/>
        <v>0</v>
      </c>
      <c r="I640" s="376">
        <v>0</v>
      </c>
    </row>
    <row r="641" spans="1:9" x14ac:dyDescent="0.25">
      <c r="A641" s="373">
        <v>151</v>
      </c>
      <c r="B641" s="374">
        <f>PRRAS!C654</f>
        <v>640</v>
      </c>
      <c r="C641" s="374">
        <f>PRRAS!D654</f>
        <v>0</v>
      </c>
      <c r="D641" s="374">
        <f>PRRAS!E654</f>
        <v>0</v>
      </c>
      <c r="E641" s="374"/>
      <c r="F641" s="374"/>
      <c r="G641" s="375">
        <f t="shared" si="18"/>
        <v>0</v>
      </c>
      <c r="H641" s="375">
        <f t="shared" si="19"/>
        <v>0</v>
      </c>
      <c r="I641" s="376">
        <v>0</v>
      </c>
    </row>
    <row r="642" spans="1:9" x14ac:dyDescent="0.25">
      <c r="A642" s="373">
        <v>151</v>
      </c>
      <c r="B642" s="374">
        <f>PRRAS!C655</f>
        <v>641</v>
      </c>
      <c r="C642" s="374">
        <f>PRRAS!D655</f>
        <v>0</v>
      </c>
      <c r="D642" s="374">
        <f>PRRAS!E655</f>
        <v>0</v>
      </c>
      <c r="E642" s="374"/>
      <c r="F642" s="374"/>
      <c r="G642" s="375">
        <f t="shared" ref="G642:G694" si="20">(B642/1000)*(C642*1+D642*2)</f>
        <v>0</v>
      </c>
      <c r="H642" s="375">
        <f t="shared" ref="H642:H694" si="21">ABS(C642-ROUND(C642,0))+ABS(D642-ROUND(D642,0))</f>
        <v>0</v>
      </c>
      <c r="I642" s="376">
        <v>0</v>
      </c>
    </row>
    <row r="643" spans="1:9" x14ac:dyDescent="0.25">
      <c r="A643" s="373">
        <v>151</v>
      </c>
      <c r="B643" s="374">
        <f>PRRAS!C656</f>
        <v>642</v>
      </c>
      <c r="C643" s="374">
        <f>PRRAS!D656</f>
        <v>0</v>
      </c>
      <c r="D643" s="374">
        <f>PRRAS!E656</f>
        <v>0</v>
      </c>
      <c r="E643" s="374"/>
      <c r="F643" s="374"/>
      <c r="G643" s="375">
        <f t="shared" si="20"/>
        <v>0</v>
      </c>
      <c r="H643" s="375">
        <f t="shared" si="21"/>
        <v>0</v>
      </c>
      <c r="I643" s="376">
        <v>0</v>
      </c>
    </row>
    <row r="644" spans="1:9" x14ac:dyDescent="0.25">
      <c r="A644" s="373">
        <v>151</v>
      </c>
      <c r="B644" s="374">
        <f>PRRAS!C657</f>
        <v>643</v>
      </c>
      <c r="C644" s="374">
        <f>PRRAS!D657</f>
        <v>0</v>
      </c>
      <c r="D644" s="374">
        <f>PRRAS!E657</f>
        <v>0</v>
      </c>
      <c r="E644" s="374"/>
      <c r="F644" s="374"/>
      <c r="G644" s="375">
        <f t="shared" si="20"/>
        <v>0</v>
      </c>
      <c r="H644" s="375">
        <f t="shared" si="21"/>
        <v>0</v>
      </c>
      <c r="I644" s="376">
        <v>0</v>
      </c>
    </row>
    <row r="645" spans="1:9" x14ac:dyDescent="0.25">
      <c r="A645" s="373">
        <v>151</v>
      </c>
      <c r="B645" s="374">
        <f>PRRAS!C658</f>
        <v>644</v>
      </c>
      <c r="C645" s="374">
        <f>PRRAS!D658</f>
        <v>0</v>
      </c>
      <c r="D645" s="374">
        <f>PRRAS!E658</f>
        <v>0</v>
      </c>
      <c r="E645" s="374"/>
      <c r="F645" s="374"/>
      <c r="G645" s="375">
        <f t="shared" si="20"/>
        <v>0</v>
      </c>
      <c r="H645" s="375">
        <f t="shared" si="21"/>
        <v>0</v>
      </c>
      <c r="I645" s="376">
        <v>0</v>
      </c>
    </row>
    <row r="646" spans="1:9" x14ac:dyDescent="0.25">
      <c r="A646" s="373">
        <v>151</v>
      </c>
      <c r="B646" s="374">
        <f>PRRAS!C659</f>
        <v>645</v>
      </c>
      <c r="C646" s="374">
        <f>PRRAS!D659</f>
        <v>0</v>
      </c>
      <c r="D646" s="374">
        <f>PRRAS!E659</f>
        <v>0</v>
      </c>
      <c r="E646" s="374"/>
      <c r="F646" s="374"/>
      <c r="G646" s="375">
        <f t="shared" si="20"/>
        <v>0</v>
      </c>
      <c r="H646" s="375">
        <f t="shared" si="21"/>
        <v>0</v>
      </c>
      <c r="I646" s="376">
        <v>0</v>
      </c>
    </row>
    <row r="647" spans="1:9" x14ac:dyDescent="0.25">
      <c r="A647" s="373">
        <v>151</v>
      </c>
      <c r="B647" s="374">
        <f>PRRAS!C660</f>
        <v>646</v>
      </c>
      <c r="C647" s="374">
        <f>PRRAS!D660</f>
        <v>0</v>
      </c>
      <c r="D647" s="374">
        <f>PRRAS!E660</f>
        <v>0</v>
      </c>
      <c r="E647" s="374"/>
      <c r="F647" s="374"/>
      <c r="G647" s="375">
        <f t="shared" si="20"/>
        <v>0</v>
      </c>
      <c r="H647" s="375">
        <f t="shared" si="21"/>
        <v>0</v>
      </c>
      <c r="I647" s="376">
        <v>0</v>
      </c>
    </row>
    <row r="648" spans="1:9" x14ac:dyDescent="0.25">
      <c r="A648" s="373">
        <v>151</v>
      </c>
      <c r="B648" s="374">
        <f>PRRAS!C661</f>
        <v>647</v>
      </c>
      <c r="C648" s="374">
        <f>PRRAS!D661</f>
        <v>3817796</v>
      </c>
      <c r="D648" s="374">
        <f>PRRAS!E661</f>
        <v>3402410</v>
      </c>
      <c r="E648" s="374"/>
      <c r="F648" s="374"/>
      <c r="G648" s="375">
        <f t="shared" si="20"/>
        <v>6872832.5520000001</v>
      </c>
      <c r="H648" s="375">
        <f t="shared" si="21"/>
        <v>0</v>
      </c>
      <c r="I648" s="376">
        <v>0</v>
      </c>
    </row>
    <row r="649" spans="1:9" x14ac:dyDescent="0.25">
      <c r="A649" s="373">
        <v>151</v>
      </c>
      <c r="B649" s="374">
        <f>PRRAS!C662</f>
        <v>648</v>
      </c>
      <c r="C649" s="374">
        <f>PRRAS!D662</f>
        <v>371587</v>
      </c>
      <c r="D649" s="374">
        <f>PRRAS!E662</f>
        <v>377062</v>
      </c>
      <c r="E649" s="374"/>
      <c r="F649" s="374"/>
      <c r="G649" s="375">
        <f t="shared" si="20"/>
        <v>729460.728</v>
      </c>
      <c r="H649" s="375">
        <f t="shared" si="21"/>
        <v>0</v>
      </c>
      <c r="I649" s="376">
        <v>0</v>
      </c>
    </row>
    <row r="650" spans="1:9" x14ac:dyDescent="0.25">
      <c r="A650" s="373">
        <v>151</v>
      </c>
      <c r="B650" s="374">
        <f>PRRAS!C663</f>
        <v>649</v>
      </c>
      <c r="C650" s="374">
        <f>PRRAS!D663</f>
        <v>0</v>
      </c>
      <c r="D650" s="374">
        <f>PRRAS!E663</f>
        <v>0</v>
      </c>
      <c r="E650" s="374"/>
      <c r="F650" s="374"/>
      <c r="G650" s="375">
        <f t="shared" si="20"/>
        <v>0</v>
      </c>
      <c r="H650" s="375">
        <f t="shared" si="21"/>
        <v>0</v>
      </c>
      <c r="I650" s="376">
        <v>0</v>
      </c>
    </row>
    <row r="651" spans="1:9" x14ac:dyDescent="0.25">
      <c r="A651" s="373">
        <v>151</v>
      </c>
      <c r="B651" s="374">
        <f>PRRAS!C664</f>
        <v>650</v>
      </c>
      <c r="C651" s="374">
        <f>PRRAS!D664</f>
        <v>244664</v>
      </c>
      <c r="D651" s="374">
        <f>PRRAS!E664</f>
        <v>236076</v>
      </c>
      <c r="E651" s="374"/>
      <c r="F651" s="374"/>
      <c r="G651" s="375">
        <f t="shared" si="20"/>
        <v>465930.4</v>
      </c>
      <c r="H651" s="375">
        <f t="shared" si="21"/>
        <v>0</v>
      </c>
      <c r="I651" s="376">
        <v>0</v>
      </c>
    </row>
    <row r="652" spans="1:9" x14ac:dyDescent="0.25">
      <c r="A652" s="373">
        <v>151</v>
      </c>
      <c r="B652" s="374">
        <f>PRRAS!C665</f>
        <v>651</v>
      </c>
      <c r="C652" s="374">
        <f>PRRAS!D665</f>
        <v>0</v>
      </c>
      <c r="D652" s="374">
        <f>PRRAS!E665</f>
        <v>0</v>
      </c>
      <c r="E652" s="374"/>
      <c r="F652" s="374"/>
      <c r="G652" s="375">
        <f t="shared" si="20"/>
        <v>0</v>
      </c>
      <c r="H652" s="375">
        <f t="shared" si="21"/>
        <v>0</v>
      </c>
      <c r="I652" s="376">
        <v>0</v>
      </c>
    </row>
    <row r="653" spans="1:9" x14ac:dyDescent="0.25">
      <c r="A653" s="373">
        <v>151</v>
      </c>
      <c r="B653" s="374">
        <f>PRRAS!C666</f>
        <v>652</v>
      </c>
      <c r="C653" s="374">
        <f>PRRAS!D666</f>
        <v>10791</v>
      </c>
      <c r="D653" s="374">
        <f>PRRAS!E666</f>
        <v>12028</v>
      </c>
      <c r="E653" s="374"/>
      <c r="F653" s="374"/>
      <c r="G653" s="375">
        <f t="shared" si="20"/>
        <v>22720.244000000002</v>
      </c>
      <c r="H653" s="375">
        <f t="shared" si="21"/>
        <v>0</v>
      </c>
      <c r="I653" s="376">
        <v>0</v>
      </c>
    </row>
    <row r="654" spans="1:9" x14ac:dyDescent="0.25">
      <c r="A654" s="373">
        <v>151</v>
      </c>
      <c r="B654" s="374">
        <f>PRRAS!C667</f>
        <v>653</v>
      </c>
      <c r="C654" s="374">
        <f>PRRAS!D667</f>
        <v>0</v>
      </c>
      <c r="D654" s="374">
        <f>PRRAS!E667</f>
        <v>0</v>
      </c>
      <c r="E654" s="374"/>
      <c r="F654" s="374"/>
      <c r="G654" s="375">
        <f t="shared" si="20"/>
        <v>0</v>
      </c>
      <c r="H654" s="375">
        <f t="shared" si="21"/>
        <v>0</v>
      </c>
      <c r="I654" s="376">
        <v>0</v>
      </c>
    </row>
    <row r="655" spans="1:9" x14ac:dyDescent="0.25">
      <c r="A655" s="373">
        <v>151</v>
      </c>
      <c r="B655" s="374">
        <f>PRRAS!C668</f>
        <v>654</v>
      </c>
      <c r="C655" s="374">
        <f>PRRAS!D668</f>
        <v>0</v>
      </c>
      <c r="D655" s="374">
        <f>PRRAS!E668</f>
        <v>0</v>
      </c>
      <c r="E655" s="374"/>
      <c r="F655" s="374"/>
      <c r="G655" s="375">
        <f t="shared" si="20"/>
        <v>0</v>
      </c>
      <c r="H655" s="375">
        <f t="shared" si="21"/>
        <v>0</v>
      </c>
      <c r="I655" s="376">
        <v>0</v>
      </c>
    </row>
    <row r="656" spans="1:9" x14ac:dyDescent="0.25">
      <c r="A656" s="373">
        <v>151</v>
      </c>
      <c r="B656" s="374">
        <f>PRRAS!C669</f>
        <v>655</v>
      </c>
      <c r="C656" s="374">
        <f>PRRAS!D669</f>
        <v>0</v>
      </c>
      <c r="D656" s="374">
        <f>PRRAS!E669</f>
        <v>0</v>
      </c>
      <c r="E656" s="374"/>
      <c r="F656" s="374"/>
      <c r="G656" s="375">
        <f t="shared" si="20"/>
        <v>0</v>
      </c>
      <c r="H656" s="375">
        <f t="shared" si="21"/>
        <v>0</v>
      </c>
      <c r="I656" s="376">
        <v>0</v>
      </c>
    </row>
    <row r="657" spans="1:9" x14ac:dyDescent="0.25">
      <c r="A657" s="373">
        <v>151</v>
      </c>
      <c r="B657" s="374">
        <f>PRRAS!C670</f>
        <v>656</v>
      </c>
      <c r="C657" s="374">
        <f>PRRAS!D670</f>
        <v>1418062</v>
      </c>
      <c r="D657" s="374">
        <f>PRRAS!E670</f>
        <v>946473</v>
      </c>
      <c r="E657" s="374"/>
      <c r="F657" s="374"/>
      <c r="G657" s="375">
        <f t="shared" si="20"/>
        <v>2172021.2480000001</v>
      </c>
      <c r="H657" s="375">
        <f t="shared" si="21"/>
        <v>0</v>
      </c>
      <c r="I657" s="376">
        <v>0</v>
      </c>
    </row>
    <row r="658" spans="1:9" x14ac:dyDescent="0.25">
      <c r="A658" s="373">
        <v>151</v>
      </c>
      <c r="B658" s="374">
        <f>PRRAS!C671</f>
        <v>657</v>
      </c>
      <c r="C658" s="374">
        <f>PRRAS!D671</f>
        <v>0</v>
      </c>
      <c r="D658" s="374">
        <f>PRRAS!E671</f>
        <v>0</v>
      </c>
      <c r="E658" s="374"/>
      <c r="F658" s="374"/>
      <c r="G658" s="375">
        <f t="shared" si="20"/>
        <v>0</v>
      </c>
      <c r="H658" s="375">
        <f t="shared" si="21"/>
        <v>0</v>
      </c>
      <c r="I658" s="376">
        <v>0</v>
      </c>
    </row>
    <row r="659" spans="1:9" x14ac:dyDescent="0.25">
      <c r="A659" s="373">
        <v>151</v>
      </c>
      <c r="B659" s="374">
        <f>PRRAS!C672</f>
        <v>658</v>
      </c>
      <c r="C659" s="374">
        <f>PRRAS!D672</f>
        <v>36274</v>
      </c>
      <c r="D659" s="374">
        <f>PRRAS!E672</f>
        <v>35927</v>
      </c>
      <c r="E659" s="374"/>
      <c r="F659" s="374"/>
      <c r="G659" s="375">
        <f t="shared" si="20"/>
        <v>71148.224000000002</v>
      </c>
      <c r="H659" s="375">
        <f t="shared" si="21"/>
        <v>0</v>
      </c>
      <c r="I659" s="376">
        <v>0</v>
      </c>
    </row>
    <row r="660" spans="1:9" x14ac:dyDescent="0.25">
      <c r="A660" s="373">
        <v>151</v>
      </c>
      <c r="B660" s="374">
        <f>PRRAS!C673</f>
        <v>659</v>
      </c>
      <c r="C660" s="374">
        <f>PRRAS!D673</f>
        <v>0</v>
      </c>
      <c r="D660" s="374">
        <f>PRRAS!E673</f>
        <v>0</v>
      </c>
      <c r="E660" s="374"/>
      <c r="F660" s="374"/>
      <c r="G660" s="375">
        <f t="shared" si="20"/>
        <v>0</v>
      </c>
      <c r="H660" s="375">
        <f t="shared" si="21"/>
        <v>0</v>
      </c>
      <c r="I660" s="376">
        <v>0</v>
      </c>
    </row>
    <row r="661" spans="1:9" x14ac:dyDescent="0.25">
      <c r="A661" s="373">
        <v>151</v>
      </c>
      <c r="B661" s="374">
        <f>PRRAS!C674</f>
        <v>660</v>
      </c>
      <c r="C661" s="374">
        <f>PRRAS!D674</f>
        <v>0</v>
      </c>
      <c r="D661" s="374">
        <f>PRRAS!E674</f>
        <v>0</v>
      </c>
      <c r="E661" s="374"/>
      <c r="F661" s="374"/>
      <c r="G661" s="375">
        <f t="shared" si="20"/>
        <v>0</v>
      </c>
      <c r="H661" s="375">
        <f t="shared" si="21"/>
        <v>0</v>
      </c>
      <c r="I661" s="376">
        <v>0</v>
      </c>
    </row>
    <row r="662" spans="1:9" x14ac:dyDescent="0.25">
      <c r="A662" s="373">
        <v>151</v>
      </c>
      <c r="B662" s="374">
        <f>PRRAS!C675</f>
        <v>661</v>
      </c>
      <c r="C662" s="374">
        <f>PRRAS!D675</f>
        <v>38991</v>
      </c>
      <c r="D662" s="374">
        <f>PRRAS!E675</f>
        <v>35646</v>
      </c>
      <c r="E662" s="374"/>
      <c r="F662" s="374"/>
      <c r="G662" s="375">
        <f t="shared" si="20"/>
        <v>72897.063000000009</v>
      </c>
      <c r="H662" s="375">
        <f t="shared" si="21"/>
        <v>0</v>
      </c>
      <c r="I662" s="376">
        <v>0</v>
      </c>
    </row>
    <row r="663" spans="1:9" x14ac:dyDescent="0.25">
      <c r="A663" s="373">
        <v>151</v>
      </c>
      <c r="B663" s="374">
        <f>PRRAS!C676</f>
        <v>662</v>
      </c>
      <c r="C663" s="374">
        <f>PRRAS!D676</f>
        <v>0</v>
      </c>
      <c r="D663" s="374">
        <f>PRRAS!E676</f>
        <v>0</v>
      </c>
      <c r="E663" s="374"/>
      <c r="F663" s="374"/>
      <c r="G663" s="375">
        <f t="shared" si="20"/>
        <v>0</v>
      </c>
      <c r="H663" s="375">
        <f t="shared" si="21"/>
        <v>0</v>
      </c>
      <c r="I663" s="376">
        <v>0</v>
      </c>
    </row>
    <row r="664" spans="1:9" x14ac:dyDescent="0.25">
      <c r="A664" s="373">
        <v>151</v>
      </c>
      <c r="B664" s="374">
        <f>PRRAS!C677</f>
        <v>663</v>
      </c>
      <c r="C664" s="374">
        <f>PRRAS!D677</f>
        <v>272480</v>
      </c>
      <c r="D664" s="374">
        <f>PRRAS!E677</f>
        <v>171262</v>
      </c>
      <c r="E664" s="374"/>
      <c r="F664" s="374"/>
      <c r="G664" s="375">
        <f t="shared" si="20"/>
        <v>407747.652</v>
      </c>
      <c r="H664" s="375">
        <f t="shared" si="21"/>
        <v>0</v>
      </c>
      <c r="I664" s="376">
        <v>0</v>
      </c>
    </row>
    <row r="665" spans="1:9" x14ac:dyDescent="0.25">
      <c r="A665" s="373">
        <v>151</v>
      </c>
      <c r="B665" s="374">
        <f>PRRAS!C678</f>
        <v>664</v>
      </c>
      <c r="C665" s="374">
        <f>PRRAS!D678</f>
        <v>0</v>
      </c>
      <c r="D665" s="374">
        <f>PRRAS!E678</f>
        <v>0</v>
      </c>
      <c r="E665" s="374"/>
      <c r="F665" s="374"/>
      <c r="G665" s="375">
        <f t="shared" si="20"/>
        <v>0</v>
      </c>
      <c r="H665" s="375">
        <f t="shared" si="21"/>
        <v>0</v>
      </c>
      <c r="I665" s="376">
        <v>0</v>
      </c>
    </row>
    <row r="666" spans="1:9" x14ac:dyDescent="0.25">
      <c r="A666" s="373">
        <v>151</v>
      </c>
      <c r="B666" s="374">
        <f>PRRAS!C679</f>
        <v>665</v>
      </c>
      <c r="C666" s="374">
        <f>PRRAS!D679</f>
        <v>0</v>
      </c>
      <c r="D666" s="374">
        <f>PRRAS!E679</f>
        <v>0</v>
      </c>
      <c r="E666" s="374"/>
      <c r="F666" s="374"/>
      <c r="G666" s="375">
        <f t="shared" si="20"/>
        <v>0</v>
      </c>
      <c r="H666" s="375">
        <f t="shared" si="21"/>
        <v>0</v>
      </c>
      <c r="I666" s="376">
        <v>0</v>
      </c>
    </row>
    <row r="667" spans="1:9" x14ac:dyDescent="0.25">
      <c r="A667" s="373">
        <v>151</v>
      </c>
      <c r="B667" s="374">
        <f>PRRAS!C680</f>
        <v>666</v>
      </c>
      <c r="C667" s="374">
        <f>PRRAS!D680</f>
        <v>0</v>
      </c>
      <c r="D667" s="374">
        <f>PRRAS!E680</f>
        <v>0</v>
      </c>
      <c r="E667" s="374"/>
      <c r="F667" s="374"/>
      <c r="G667" s="375">
        <f t="shared" si="20"/>
        <v>0</v>
      </c>
      <c r="H667" s="375">
        <f t="shared" si="21"/>
        <v>0</v>
      </c>
      <c r="I667" s="376">
        <v>0</v>
      </c>
    </row>
    <row r="668" spans="1:9" x14ac:dyDescent="0.25">
      <c r="A668" s="373">
        <v>151</v>
      </c>
      <c r="B668" s="374">
        <f>PRRAS!C681</f>
        <v>667</v>
      </c>
      <c r="C668" s="374">
        <f>PRRAS!D681</f>
        <v>0</v>
      </c>
      <c r="D668" s="374">
        <f>PRRAS!E681</f>
        <v>0</v>
      </c>
      <c r="E668" s="374"/>
      <c r="F668" s="374"/>
      <c r="G668" s="375">
        <f t="shared" si="20"/>
        <v>0</v>
      </c>
      <c r="H668" s="375">
        <f t="shared" si="21"/>
        <v>0</v>
      </c>
      <c r="I668" s="376">
        <v>0</v>
      </c>
    </row>
    <row r="669" spans="1:9" x14ac:dyDescent="0.25">
      <c r="A669" s="373">
        <v>151</v>
      </c>
      <c r="B669" s="374">
        <f>PRRAS!C682</f>
        <v>668</v>
      </c>
      <c r="C669" s="374">
        <f>PRRAS!D682</f>
        <v>0</v>
      </c>
      <c r="D669" s="374">
        <f>PRRAS!E682</f>
        <v>0</v>
      </c>
      <c r="E669" s="374"/>
      <c r="F669" s="374"/>
      <c r="G669" s="375">
        <f t="shared" si="20"/>
        <v>0</v>
      </c>
      <c r="H669" s="375">
        <f t="shared" si="21"/>
        <v>0</v>
      </c>
      <c r="I669" s="376">
        <v>0</v>
      </c>
    </row>
    <row r="670" spans="1:9" x14ac:dyDescent="0.25">
      <c r="A670" s="373">
        <v>151</v>
      </c>
      <c r="B670" s="374">
        <f>PRRAS!C683</f>
        <v>669</v>
      </c>
      <c r="C670" s="374">
        <f>PRRAS!D683</f>
        <v>0</v>
      </c>
      <c r="D670" s="374">
        <f>PRRAS!E683</f>
        <v>0</v>
      </c>
      <c r="E670" s="374"/>
      <c r="F670" s="374"/>
      <c r="G670" s="375">
        <f t="shared" si="20"/>
        <v>0</v>
      </c>
      <c r="H670" s="375">
        <f t="shared" si="21"/>
        <v>0</v>
      </c>
      <c r="I670" s="376">
        <v>0</v>
      </c>
    </row>
    <row r="671" spans="1:9" x14ac:dyDescent="0.25">
      <c r="A671" s="373">
        <v>151</v>
      </c>
      <c r="B671" s="374">
        <f>PRRAS!C684</f>
        <v>670</v>
      </c>
      <c r="C671" s="374">
        <f>PRRAS!D684</f>
        <v>0</v>
      </c>
      <c r="D671" s="374">
        <f>PRRAS!E684</f>
        <v>0</v>
      </c>
      <c r="E671" s="374"/>
      <c r="F671" s="374"/>
      <c r="G671" s="375">
        <f t="shared" si="20"/>
        <v>0</v>
      </c>
      <c r="H671" s="375">
        <f t="shared" si="21"/>
        <v>0</v>
      </c>
      <c r="I671" s="376">
        <v>0</v>
      </c>
    </row>
    <row r="672" spans="1:9" x14ac:dyDescent="0.25">
      <c r="A672" s="373">
        <v>151</v>
      </c>
      <c r="B672" s="374">
        <f>PRRAS!C685</f>
        <v>671</v>
      </c>
      <c r="C672" s="374">
        <f>PRRAS!D685</f>
        <v>0</v>
      </c>
      <c r="D672" s="374">
        <f>PRRAS!E685</f>
        <v>0</v>
      </c>
      <c r="E672" s="374"/>
      <c r="F672" s="374"/>
      <c r="G672" s="375">
        <f t="shared" si="20"/>
        <v>0</v>
      </c>
      <c r="H672" s="375">
        <f t="shared" si="21"/>
        <v>0</v>
      </c>
      <c r="I672" s="376">
        <v>0</v>
      </c>
    </row>
    <row r="673" spans="1:9" x14ac:dyDescent="0.25">
      <c r="A673" s="373">
        <v>151</v>
      </c>
      <c r="B673" s="374">
        <f>PRRAS!C686</f>
        <v>672</v>
      </c>
      <c r="C673" s="374">
        <f>PRRAS!D686</f>
        <v>0</v>
      </c>
      <c r="D673" s="374">
        <f>PRRAS!E686</f>
        <v>0</v>
      </c>
      <c r="E673" s="374"/>
      <c r="F673" s="374"/>
      <c r="G673" s="375">
        <f t="shared" si="20"/>
        <v>0</v>
      </c>
      <c r="H673" s="375">
        <f t="shared" si="21"/>
        <v>0</v>
      </c>
      <c r="I673" s="376">
        <v>0</v>
      </c>
    </row>
    <row r="674" spans="1:9" x14ac:dyDescent="0.25">
      <c r="A674" s="373">
        <v>151</v>
      </c>
      <c r="B674" s="374">
        <f>PRRAS!C687</f>
        <v>673</v>
      </c>
      <c r="C674" s="374">
        <f>PRRAS!D687</f>
        <v>0</v>
      </c>
      <c r="D674" s="374">
        <f>PRRAS!E687</f>
        <v>0</v>
      </c>
      <c r="E674" s="374"/>
      <c r="F674" s="374"/>
      <c r="G674" s="375">
        <f t="shared" si="20"/>
        <v>0</v>
      </c>
      <c r="H674" s="375">
        <f t="shared" si="21"/>
        <v>0</v>
      </c>
      <c r="I674" s="376">
        <v>0</v>
      </c>
    </row>
    <row r="675" spans="1:9" x14ac:dyDescent="0.25">
      <c r="A675" s="373">
        <v>151</v>
      </c>
      <c r="B675" s="374">
        <f>PRRAS!C688</f>
        <v>674</v>
      </c>
      <c r="C675" s="374">
        <f>PRRAS!D688</f>
        <v>0</v>
      </c>
      <c r="D675" s="374">
        <f>PRRAS!E688</f>
        <v>0</v>
      </c>
      <c r="E675" s="374"/>
      <c r="F675" s="374"/>
      <c r="G675" s="375">
        <f t="shared" si="20"/>
        <v>0</v>
      </c>
      <c r="H675" s="375">
        <f t="shared" si="21"/>
        <v>0</v>
      </c>
      <c r="I675" s="376">
        <v>0</v>
      </c>
    </row>
    <row r="676" spans="1:9" x14ac:dyDescent="0.25">
      <c r="A676" s="373">
        <v>151</v>
      </c>
      <c r="B676" s="374">
        <f>PRRAS!C689</f>
        <v>675</v>
      </c>
      <c r="C676" s="374">
        <f>PRRAS!D689</f>
        <v>0</v>
      </c>
      <c r="D676" s="374">
        <f>PRRAS!E689</f>
        <v>0</v>
      </c>
      <c r="E676" s="374"/>
      <c r="F676" s="374"/>
      <c r="G676" s="375">
        <f t="shared" si="20"/>
        <v>0</v>
      </c>
      <c r="H676" s="375">
        <f t="shared" si="21"/>
        <v>0</v>
      </c>
      <c r="I676" s="376">
        <v>0</v>
      </c>
    </row>
    <row r="677" spans="1:9" x14ac:dyDescent="0.25">
      <c r="A677" s="373">
        <v>151</v>
      </c>
      <c r="B677" s="374">
        <f>PRRAS!C690</f>
        <v>676</v>
      </c>
      <c r="C677" s="374">
        <f>PRRAS!D690</f>
        <v>0</v>
      </c>
      <c r="D677" s="374">
        <f>PRRAS!E690</f>
        <v>0</v>
      </c>
      <c r="E677" s="374"/>
      <c r="F677" s="374"/>
      <c r="G677" s="375">
        <f t="shared" si="20"/>
        <v>0</v>
      </c>
      <c r="H677" s="375">
        <f t="shared" si="21"/>
        <v>0</v>
      </c>
      <c r="I677" s="376">
        <v>0</v>
      </c>
    </row>
    <row r="678" spans="1:9" x14ac:dyDescent="0.25">
      <c r="A678" s="373">
        <v>151</v>
      </c>
      <c r="B678" s="374">
        <f>PRRAS!C691</f>
        <v>677</v>
      </c>
      <c r="C678" s="374">
        <f>PRRAS!D691</f>
        <v>0</v>
      </c>
      <c r="D678" s="374">
        <f>PRRAS!E691</f>
        <v>0</v>
      </c>
      <c r="E678" s="374"/>
      <c r="F678" s="374"/>
      <c r="G678" s="375">
        <f t="shared" si="20"/>
        <v>0</v>
      </c>
      <c r="H678" s="375">
        <f t="shared" si="21"/>
        <v>0</v>
      </c>
      <c r="I678" s="376">
        <v>0</v>
      </c>
    </row>
    <row r="679" spans="1:9" x14ac:dyDescent="0.25">
      <c r="A679" s="373">
        <v>151</v>
      </c>
      <c r="B679" s="374">
        <f>PRRAS!C692</f>
        <v>678</v>
      </c>
      <c r="C679" s="374">
        <f>PRRAS!D692</f>
        <v>0</v>
      </c>
      <c r="D679" s="374">
        <f>PRRAS!E692</f>
        <v>0</v>
      </c>
      <c r="E679" s="374"/>
      <c r="F679" s="374"/>
      <c r="G679" s="375">
        <f t="shared" si="20"/>
        <v>0</v>
      </c>
      <c r="H679" s="375">
        <f t="shared" si="21"/>
        <v>0</v>
      </c>
      <c r="I679" s="376">
        <v>0</v>
      </c>
    </row>
    <row r="680" spans="1:9" x14ac:dyDescent="0.25">
      <c r="A680" s="373">
        <v>151</v>
      </c>
      <c r="B680" s="374">
        <f>PRRAS!C693</f>
        <v>679</v>
      </c>
      <c r="C680" s="374">
        <f>PRRAS!D693</f>
        <v>0</v>
      </c>
      <c r="D680" s="374">
        <f>PRRAS!E693</f>
        <v>0</v>
      </c>
      <c r="E680" s="374"/>
      <c r="F680" s="374"/>
      <c r="G680" s="375">
        <f t="shared" si="20"/>
        <v>0</v>
      </c>
      <c r="H680" s="375">
        <f t="shared" si="21"/>
        <v>0</v>
      </c>
      <c r="I680" s="376">
        <v>0</v>
      </c>
    </row>
    <row r="681" spans="1:9" x14ac:dyDescent="0.25">
      <c r="A681" s="373">
        <v>151</v>
      </c>
      <c r="B681" s="374">
        <f>PRRAS!C694</f>
        <v>680</v>
      </c>
      <c r="C681" s="374">
        <f>PRRAS!D694</f>
        <v>0</v>
      </c>
      <c r="D681" s="374">
        <f>PRRAS!E694</f>
        <v>0</v>
      </c>
      <c r="E681" s="374"/>
      <c r="F681" s="374"/>
      <c r="G681" s="375">
        <f t="shared" si="20"/>
        <v>0</v>
      </c>
      <c r="H681" s="375">
        <f t="shared" si="21"/>
        <v>0</v>
      </c>
      <c r="I681" s="376">
        <v>0</v>
      </c>
    </row>
    <row r="682" spans="1:9" x14ac:dyDescent="0.25">
      <c r="A682" s="373">
        <v>151</v>
      </c>
      <c r="B682" s="374">
        <f>PRRAS!C695</f>
        <v>681</v>
      </c>
      <c r="C682" s="374">
        <f>PRRAS!D695</f>
        <v>0</v>
      </c>
      <c r="D682" s="374">
        <f>PRRAS!E695</f>
        <v>0</v>
      </c>
      <c r="E682" s="374"/>
      <c r="F682" s="374"/>
      <c r="G682" s="375">
        <f t="shared" si="20"/>
        <v>0</v>
      </c>
      <c r="H682" s="375">
        <f t="shared" si="21"/>
        <v>0</v>
      </c>
      <c r="I682" s="376">
        <v>0</v>
      </c>
    </row>
    <row r="683" spans="1:9" x14ac:dyDescent="0.25">
      <c r="A683" s="373">
        <v>151</v>
      </c>
      <c r="B683" s="374">
        <f>PRRAS!C696</f>
        <v>682</v>
      </c>
      <c r="C683" s="374">
        <f>PRRAS!D696</f>
        <v>0</v>
      </c>
      <c r="D683" s="374">
        <f>PRRAS!E696</f>
        <v>0</v>
      </c>
      <c r="E683" s="374"/>
      <c r="F683" s="374"/>
      <c r="G683" s="375">
        <f t="shared" si="20"/>
        <v>0</v>
      </c>
      <c r="H683" s="375">
        <f t="shared" si="21"/>
        <v>0</v>
      </c>
      <c r="I683" s="376">
        <v>0</v>
      </c>
    </row>
    <row r="684" spans="1:9" x14ac:dyDescent="0.25">
      <c r="A684" s="373">
        <v>151</v>
      </c>
      <c r="B684" s="374">
        <f>PRRAS!C697</f>
        <v>683</v>
      </c>
      <c r="C684" s="374">
        <f>PRRAS!D697</f>
        <v>0</v>
      </c>
      <c r="D684" s="374">
        <f>PRRAS!E697</f>
        <v>0</v>
      </c>
      <c r="E684" s="374"/>
      <c r="F684" s="374"/>
      <c r="G684" s="375">
        <f t="shared" si="20"/>
        <v>0</v>
      </c>
      <c r="H684" s="375">
        <f t="shared" si="21"/>
        <v>0</v>
      </c>
      <c r="I684" s="376">
        <v>0</v>
      </c>
    </row>
    <row r="685" spans="1:9" x14ac:dyDescent="0.25">
      <c r="A685" s="373">
        <v>151</v>
      </c>
      <c r="B685" s="374">
        <f>PRRAS!C698</f>
        <v>684</v>
      </c>
      <c r="C685" s="374">
        <f>PRRAS!D698</f>
        <v>0</v>
      </c>
      <c r="D685" s="374">
        <f>PRRAS!E698</f>
        <v>0</v>
      </c>
      <c r="E685" s="374"/>
      <c r="F685" s="374"/>
      <c r="G685" s="375">
        <f t="shared" si="20"/>
        <v>0</v>
      </c>
      <c r="H685" s="375">
        <f t="shared" si="21"/>
        <v>0</v>
      </c>
      <c r="I685" s="376">
        <v>0</v>
      </c>
    </row>
    <row r="686" spans="1:9" x14ac:dyDescent="0.25">
      <c r="A686" s="373">
        <v>151</v>
      </c>
      <c r="B686" s="374">
        <f>PRRAS!C699</f>
        <v>685</v>
      </c>
      <c r="C686" s="374">
        <f>PRRAS!D699</f>
        <v>0</v>
      </c>
      <c r="D686" s="374">
        <f>PRRAS!E699</f>
        <v>0</v>
      </c>
      <c r="E686" s="374"/>
      <c r="F686" s="374"/>
      <c r="G686" s="375">
        <f t="shared" si="20"/>
        <v>0</v>
      </c>
      <c r="H686" s="375">
        <f t="shared" si="21"/>
        <v>0</v>
      </c>
      <c r="I686" s="376">
        <v>0</v>
      </c>
    </row>
    <row r="687" spans="1:9" x14ac:dyDescent="0.25">
      <c r="A687" s="373">
        <v>151</v>
      </c>
      <c r="B687" s="374">
        <f>PRRAS!C700</f>
        <v>686</v>
      </c>
      <c r="C687" s="374">
        <f>PRRAS!D700</f>
        <v>0</v>
      </c>
      <c r="D687" s="374">
        <f>PRRAS!E700</f>
        <v>0</v>
      </c>
      <c r="E687" s="374"/>
      <c r="F687" s="374"/>
      <c r="G687" s="375">
        <f t="shared" si="20"/>
        <v>0</v>
      </c>
      <c r="H687" s="375">
        <f t="shared" si="21"/>
        <v>0</v>
      </c>
      <c r="I687" s="376">
        <v>0</v>
      </c>
    </row>
    <row r="688" spans="1:9" x14ac:dyDescent="0.25">
      <c r="A688" s="373">
        <v>151</v>
      </c>
      <c r="B688" s="374">
        <f>PRRAS!C701</f>
        <v>687</v>
      </c>
      <c r="C688" s="374">
        <f>PRRAS!D701</f>
        <v>0</v>
      </c>
      <c r="D688" s="374">
        <f>PRRAS!E701</f>
        <v>0</v>
      </c>
      <c r="E688" s="374"/>
      <c r="F688" s="374"/>
      <c r="G688" s="375">
        <f t="shared" si="20"/>
        <v>0</v>
      </c>
      <c r="H688" s="375">
        <f t="shared" si="21"/>
        <v>0</v>
      </c>
      <c r="I688" s="376">
        <v>0</v>
      </c>
    </row>
    <row r="689" spans="1:9" x14ac:dyDescent="0.25">
      <c r="A689" s="373">
        <v>151</v>
      </c>
      <c r="B689" s="374">
        <f>PRRAS!C702</f>
        <v>688</v>
      </c>
      <c r="C689" s="374">
        <f>PRRAS!D702</f>
        <v>0</v>
      </c>
      <c r="D689" s="374">
        <f>PRRAS!E702</f>
        <v>0</v>
      </c>
      <c r="E689" s="374"/>
      <c r="F689" s="374"/>
      <c r="G689" s="375">
        <f t="shared" si="20"/>
        <v>0</v>
      </c>
      <c r="H689" s="375">
        <f t="shared" si="21"/>
        <v>0</v>
      </c>
      <c r="I689" s="376">
        <v>0</v>
      </c>
    </row>
    <row r="690" spans="1:9" x14ac:dyDescent="0.25">
      <c r="A690" s="373">
        <v>151</v>
      </c>
      <c r="B690" s="374">
        <f>PRRAS!C703</f>
        <v>689</v>
      </c>
      <c r="C690" s="374">
        <f>PRRAS!D703</f>
        <v>0</v>
      </c>
      <c r="D690" s="374">
        <f>PRRAS!E703</f>
        <v>0</v>
      </c>
      <c r="E690" s="374"/>
      <c r="F690" s="374"/>
      <c r="G690" s="375">
        <f t="shared" si="20"/>
        <v>0</v>
      </c>
      <c r="H690" s="375">
        <f t="shared" si="21"/>
        <v>0</v>
      </c>
      <c r="I690" s="376">
        <v>0</v>
      </c>
    </row>
    <row r="691" spans="1:9" x14ac:dyDescent="0.25">
      <c r="A691" s="373">
        <v>151</v>
      </c>
      <c r="B691" s="374">
        <f>PRRAS!C704</f>
        <v>690</v>
      </c>
      <c r="C691" s="374">
        <f>PRRAS!D704</f>
        <v>0</v>
      </c>
      <c r="D691" s="374">
        <f>PRRAS!E704</f>
        <v>0</v>
      </c>
      <c r="E691" s="374"/>
      <c r="F691" s="374"/>
      <c r="G691" s="375">
        <f t="shared" si="20"/>
        <v>0</v>
      </c>
      <c r="H691" s="375">
        <f t="shared" si="21"/>
        <v>0</v>
      </c>
      <c r="I691" s="376">
        <v>0</v>
      </c>
    </row>
    <row r="692" spans="1:9" x14ac:dyDescent="0.25">
      <c r="A692" s="373">
        <v>151</v>
      </c>
      <c r="B692" s="374">
        <f>PRRAS!C705</f>
        <v>691</v>
      </c>
      <c r="C692" s="374">
        <f>PRRAS!D705</f>
        <v>0</v>
      </c>
      <c r="D692" s="374">
        <f>PRRAS!E705</f>
        <v>0</v>
      </c>
      <c r="E692" s="374"/>
      <c r="F692" s="374"/>
      <c r="G692" s="375">
        <f t="shared" si="20"/>
        <v>0</v>
      </c>
      <c r="H692" s="375">
        <f t="shared" si="21"/>
        <v>0</v>
      </c>
      <c r="I692" s="376">
        <v>0</v>
      </c>
    </row>
    <row r="693" spans="1:9" x14ac:dyDescent="0.25">
      <c r="A693" s="373">
        <v>151</v>
      </c>
      <c r="B693" s="374">
        <f>PRRAS!C706</f>
        <v>692</v>
      </c>
      <c r="C693" s="374">
        <f>PRRAS!D706</f>
        <v>0</v>
      </c>
      <c r="D693" s="374">
        <f>PRRAS!E706</f>
        <v>0</v>
      </c>
      <c r="E693" s="374"/>
      <c r="F693" s="374"/>
      <c r="G693" s="375">
        <f t="shared" si="20"/>
        <v>0</v>
      </c>
      <c r="H693" s="375">
        <f t="shared" si="21"/>
        <v>0</v>
      </c>
      <c r="I693" s="376">
        <v>0</v>
      </c>
    </row>
    <row r="694" spans="1:9" x14ac:dyDescent="0.25">
      <c r="A694" s="373">
        <v>151</v>
      </c>
      <c r="B694" s="374">
        <f>PRRAS!C707</f>
        <v>693</v>
      </c>
      <c r="C694" s="374">
        <f>PRRAS!D707</f>
        <v>0</v>
      </c>
      <c r="D694" s="374">
        <f>PRRAS!E707</f>
        <v>0</v>
      </c>
      <c r="E694" s="374"/>
      <c r="F694" s="374"/>
      <c r="G694" s="375">
        <f t="shared" si="20"/>
        <v>0</v>
      </c>
      <c r="H694" s="375">
        <f t="shared" si="21"/>
        <v>0</v>
      </c>
      <c r="I694" s="376">
        <v>0</v>
      </c>
    </row>
    <row r="695" spans="1:9" x14ac:dyDescent="0.25">
      <c r="A695" s="373">
        <v>151</v>
      </c>
      <c r="B695" s="374">
        <f>PRRAS!C708</f>
        <v>694</v>
      </c>
      <c r="C695" s="374">
        <f>PRRAS!D708</f>
        <v>0</v>
      </c>
      <c r="D695" s="374">
        <f>PRRAS!E708</f>
        <v>0</v>
      </c>
      <c r="E695" s="374"/>
      <c r="F695" s="374"/>
      <c r="G695" s="375">
        <f t="shared" ref="G695:G758" si="22">(B695/1000)*(C695*1+D695*2)</f>
        <v>0</v>
      </c>
      <c r="H695" s="375">
        <f t="shared" ref="H695:H758" si="23">ABS(C695-ROUND(C695,0))+ABS(D695-ROUND(D695,0))</f>
        <v>0</v>
      </c>
      <c r="I695" s="376">
        <v>0</v>
      </c>
    </row>
    <row r="696" spans="1:9" x14ac:dyDescent="0.25">
      <c r="A696" s="373">
        <v>151</v>
      </c>
      <c r="B696" s="374">
        <f>PRRAS!C709</f>
        <v>695</v>
      </c>
      <c r="C696" s="374">
        <f>PRRAS!D709</f>
        <v>0</v>
      </c>
      <c r="D696" s="374">
        <f>PRRAS!E709</f>
        <v>0</v>
      </c>
      <c r="E696" s="374"/>
      <c r="F696" s="374"/>
      <c r="G696" s="375">
        <f t="shared" si="22"/>
        <v>0</v>
      </c>
      <c r="H696" s="375">
        <f t="shared" si="23"/>
        <v>0</v>
      </c>
      <c r="I696" s="376">
        <v>0</v>
      </c>
    </row>
    <row r="697" spans="1:9" x14ac:dyDescent="0.25">
      <c r="A697" s="373">
        <v>151</v>
      </c>
      <c r="B697" s="374">
        <f>PRRAS!C710</f>
        <v>696</v>
      </c>
      <c r="C697" s="374">
        <f>PRRAS!D710</f>
        <v>0</v>
      </c>
      <c r="D697" s="374">
        <f>PRRAS!E710</f>
        <v>0</v>
      </c>
      <c r="E697" s="374"/>
      <c r="F697" s="374"/>
      <c r="G697" s="375">
        <f t="shared" si="22"/>
        <v>0</v>
      </c>
      <c r="H697" s="375">
        <f t="shared" si="23"/>
        <v>0</v>
      </c>
      <c r="I697" s="376">
        <v>0</v>
      </c>
    </row>
    <row r="698" spans="1:9" x14ac:dyDescent="0.25">
      <c r="A698" s="373">
        <v>151</v>
      </c>
      <c r="B698" s="374">
        <f>PRRAS!C711</f>
        <v>697</v>
      </c>
      <c r="C698" s="374">
        <f>PRRAS!D711</f>
        <v>212638</v>
      </c>
      <c r="D698" s="374">
        <f>PRRAS!E711</f>
        <v>199622</v>
      </c>
      <c r="E698" s="374"/>
      <c r="F698" s="374"/>
      <c r="G698" s="375">
        <f t="shared" si="22"/>
        <v>426481.75399999996</v>
      </c>
      <c r="H698" s="375">
        <f t="shared" si="23"/>
        <v>0</v>
      </c>
      <c r="I698" s="376">
        <v>0</v>
      </c>
    </row>
    <row r="699" spans="1:9" x14ac:dyDescent="0.25">
      <c r="A699" s="373">
        <v>151</v>
      </c>
      <c r="B699" s="374">
        <f>PRRAS!C712</f>
        <v>698</v>
      </c>
      <c r="C699" s="374">
        <f>PRRAS!D712</f>
        <v>0</v>
      </c>
      <c r="D699" s="374">
        <f>PRRAS!E712</f>
        <v>0</v>
      </c>
      <c r="E699" s="374"/>
      <c r="F699" s="374"/>
      <c r="G699" s="375">
        <f t="shared" si="22"/>
        <v>0</v>
      </c>
      <c r="H699" s="375">
        <f t="shared" si="23"/>
        <v>0</v>
      </c>
      <c r="I699" s="376">
        <v>0</v>
      </c>
    </row>
    <row r="700" spans="1:9" x14ac:dyDescent="0.25">
      <c r="A700" s="373">
        <v>151</v>
      </c>
      <c r="B700" s="374">
        <f>PRRAS!C713</f>
        <v>699</v>
      </c>
      <c r="C700" s="374">
        <f>PRRAS!D713</f>
        <v>0</v>
      </c>
      <c r="D700" s="374">
        <f>PRRAS!E713</f>
        <v>0</v>
      </c>
      <c r="E700" s="374"/>
      <c r="F700" s="374"/>
      <c r="G700" s="375">
        <f t="shared" si="22"/>
        <v>0</v>
      </c>
      <c r="H700" s="375">
        <f t="shared" si="23"/>
        <v>0</v>
      </c>
      <c r="I700" s="376">
        <v>0</v>
      </c>
    </row>
    <row r="701" spans="1:9" x14ac:dyDescent="0.25">
      <c r="A701" s="373">
        <v>151</v>
      </c>
      <c r="B701" s="374">
        <f>PRRAS!C714</f>
        <v>700</v>
      </c>
      <c r="C701" s="374">
        <f>PRRAS!D714</f>
        <v>42013</v>
      </c>
      <c r="D701" s="374">
        <f>PRRAS!E714</f>
        <v>34701</v>
      </c>
      <c r="E701" s="374"/>
      <c r="F701" s="374"/>
      <c r="G701" s="375">
        <f t="shared" si="22"/>
        <v>77990.5</v>
      </c>
      <c r="H701" s="375">
        <f t="shared" si="23"/>
        <v>0</v>
      </c>
      <c r="I701" s="376">
        <v>0</v>
      </c>
    </row>
    <row r="702" spans="1:9" x14ac:dyDescent="0.25">
      <c r="A702" s="373">
        <v>151</v>
      </c>
      <c r="B702" s="374">
        <f>PRRAS!C715</f>
        <v>701</v>
      </c>
      <c r="C702" s="374">
        <f>PRRAS!D715</f>
        <v>0</v>
      </c>
      <c r="D702" s="374">
        <f>PRRAS!E715</f>
        <v>0</v>
      </c>
      <c r="E702" s="374"/>
      <c r="F702" s="374"/>
      <c r="G702" s="375">
        <f t="shared" si="22"/>
        <v>0</v>
      </c>
      <c r="H702" s="375">
        <f t="shared" si="23"/>
        <v>0</v>
      </c>
      <c r="I702" s="376">
        <v>0</v>
      </c>
    </row>
    <row r="703" spans="1:9" x14ac:dyDescent="0.25">
      <c r="A703" s="373">
        <v>151</v>
      </c>
      <c r="B703" s="374">
        <f>PRRAS!C716</f>
        <v>702</v>
      </c>
      <c r="C703" s="374">
        <f>PRRAS!D716</f>
        <v>0</v>
      </c>
      <c r="D703" s="374">
        <f>PRRAS!E716</f>
        <v>0</v>
      </c>
      <c r="E703" s="374"/>
      <c r="F703" s="374"/>
      <c r="G703" s="375">
        <f t="shared" si="22"/>
        <v>0</v>
      </c>
      <c r="H703" s="375">
        <f t="shared" si="23"/>
        <v>0</v>
      </c>
      <c r="I703" s="376">
        <v>0</v>
      </c>
    </row>
    <row r="704" spans="1:9" x14ac:dyDescent="0.25">
      <c r="A704" s="373">
        <v>151</v>
      </c>
      <c r="B704" s="374">
        <f>PRRAS!C717</f>
        <v>703</v>
      </c>
      <c r="C704" s="374">
        <f>PRRAS!D717</f>
        <v>0</v>
      </c>
      <c r="D704" s="374">
        <f>PRRAS!E717</f>
        <v>0</v>
      </c>
      <c r="E704" s="374"/>
      <c r="F704" s="374"/>
      <c r="G704" s="375">
        <f t="shared" si="22"/>
        <v>0</v>
      </c>
      <c r="H704" s="375">
        <f t="shared" si="23"/>
        <v>0</v>
      </c>
      <c r="I704" s="376">
        <v>0</v>
      </c>
    </row>
    <row r="705" spans="1:9" x14ac:dyDescent="0.25">
      <c r="A705" s="373">
        <v>151</v>
      </c>
      <c r="B705" s="374">
        <f>PRRAS!C718</f>
        <v>704</v>
      </c>
      <c r="C705" s="374">
        <f>PRRAS!D718</f>
        <v>0</v>
      </c>
      <c r="D705" s="374">
        <f>PRRAS!E718</f>
        <v>0</v>
      </c>
      <c r="E705" s="374"/>
      <c r="F705" s="374"/>
      <c r="G705" s="375">
        <f t="shared" si="22"/>
        <v>0</v>
      </c>
      <c r="H705" s="375">
        <f t="shared" si="23"/>
        <v>0</v>
      </c>
      <c r="I705" s="376">
        <v>0</v>
      </c>
    </row>
    <row r="706" spans="1:9" x14ac:dyDescent="0.25">
      <c r="A706" s="373">
        <v>151</v>
      </c>
      <c r="B706" s="374">
        <f>PRRAS!C719</f>
        <v>705</v>
      </c>
      <c r="C706" s="374">
        <f>PRRAS!D719</f>
        <v>0</v>
      </c>
      <c r="D706" s="374">
        <f>PRRAS!E719</f>
        <v>0</v>
      </c>
      <c r="E706" s="374"/>
      <c r="F706" s="374"/>
      <c r="G706" s="375">
        <f t="shared" si="22"/>
        <v>0</v>
      </c>
      <c r="H706" s="375">
        <f t="shared" si="23"/>
        <v>0</v>
      </c>
      <c r="I706" s="376">
        <v>0</v>
      </c>
    </row>
    <row r="707" spans="1:9" x14ac:dyDescent="0.25">
      <c r="A707" s="373">
        <v>151</v>
      </c>
      <c r="B707" s="374">
        <f>PRRAS!C720</f>
        <v>706</v>
      </c>
      <c r="C707" s="374">
        <f>PRRAS!D720</f>
        <v>0</v>
      </c>
      <c r="D707" s="374">
        <f>PRRAS!E720</f>
        <v>0</v>
      </c>
      <c r="E707" s="374"/>
      <c r="F707" s="374"/>
      <c r="G707" s="375">
        <f t="shared" si="22"/>
        <v>0</v>
      </c>
      <c r="H707" s="375">
        <f t="shared" si="23"/>
        <v>0</v>
      </c>
      <c r="I707" s="376">
        <v>0</v>
      </c>
    </row>
    <row r="708" spans="1:9" x14ac:dyDescent="0.25">
      <c r="A708" s="373">
        <v>151</v>
      </c>
      <c r="B708" s="374">
        <f>PRRAS!C721</f>
        <v>707</v>
      </c>
      <c r="C708" s="374">
        <f>PRRAS!D721</f>
        <v>0</v>
      </c>
      <c r="D708" s="374">
        <f>PRRAS!E721</f>
        <v>0</v>
      </c>
      <c r="E708" s="374"/>
      <c r="F708" s="374"/>
      <c r="G708" s="375">
        <f t="shared" si="22"/>
        <v>0</v>
      </c>
      <c r="H708" s="375">
        <f t="shared" si="23"/>
        <v>0</v>
      </c>
      <c r="I708" s="376">
        <v>0</v>
      </c>
    </row>
    <row r="709" spans="1:9" x14ac:dyDescent="0.25">
      <c r="A709" s="373">
        <v>151</v>
      </c>
      <c r="B709" s="374">
        <f>PRRAS!C722</f>
        <v>708</v>
      </c>
      <c r="C709" s="374">
        <f>PRRAS!D722</f>
        <v>0</v>
      </c>
      <c r="D709" s="374">
        <f>PRRAS!E722</f>
        <v>0</v>
      </c>
      <c r="E709" s="374"/>
      <c r="F709" s="374"/>
      <c r="G709" s="375">
        <f t="shared" si="22"/>
        <v>0</v>
      </c>
      <c r="H709" s="375">
        <f t="shared" si="23"/>
        <v>0</v>
      </c>
      <c r="I709" s="376">
        <v>0</v>
      </c>
    </row>
    <row r="710" spans="1:9" x14ac:dyDescent="0.25">
      <c r="A710" s="373">
        <v>151</v>
      </c>
      <c r="B710" s="374">
        <f>PRRAS!C723</f>
        <v>709</v>
      </c>
      <c r="C710" s="374">
        <f>PRRAS!D723</f>
        <v>0</v>
      </c>
      <c r="D710" s="374">
        <f>PRRAS!E723</f>
        <v>0</v>
      </c>
      <c r="E710" s="374"/>
      <c r="F710" s="374"/>
      <c r="G710" s="375">
        <f t="shared" si="22"/>
        <v>0</v>
      </c>
      <c r="H710" s="375">
        <f t="shared" si="23"/>
        <v>0</v>
      </c>
      <c r="I710" s="376">
        <v>0</v>
      </c>
    </row>
    <row r="711" spans="1:9" x14ac:dyDescent="0.25">
      <c r="A711" s="373">
        <v>151</v>
      </c>
      <c r="B711" s="374">
        <f>PRRAS!C724</f>
        <v>710</v>
      </c>
      <c r="C711" s="374">
        <f>PRRAS!D724</f>
        <v>0</v>
      </c>
      <c r="D711" s="374">
        <f>PRRAS!E724</f>
        <v>0</v>
      </c>
      <c r="E711" s="374"/>
      <c r="F711" s="374"/>
      <c r="G711" s="375">
        <f t="shared" si="22"/>
        <v>0</v>
      </c>
      <c r="H711" s="375">
        <f t="shared" si="23"/>
        <v>0</v>
      </c>
      <c r="I711" s="376">
        <v>0</v>
      </c>
    </row>
    <row r="712" spans="1:9" x14ac:dyDescent="0.25">
      <c r="A712" s="373">
        <v>151</v>
      </c>
      <c r="B712" s="374">
        <f>PRRAS!C725</f>
        <v>711</v>
      </c>
      <c r="C712" s="374">
        <f>PRRAS!D725</f>
        <v>0</v>
      </c>
      <c r="D712" s="374">
        <f>PRRAS!E725</f>
        <v>0</v>
      </c>
      <c r="E712" s="374"/>
      <c r="F712" s="374"/>
      <c r="G712" s="375">
        <f t="shared" si="22"/>
        <v>0</v>
      </c>
      <c r="H712" s="375">
        <f t="shared" si="23"/>
        <v>0</v>
      </c>
      <c r="I712" s="376">
        <v>0</v>
      </c>
    </row>
    <row r="713" spans="1:9" x14ac:dyDescent="0.25">
      <c r="A713" s="373">
        <v>151</v>
      </c>
      <c r="B713" s="374">
        <f>PRRAS!C726</f>
        <v>712</v>
      </c>
      <c r="C713" s="374">
        <f>PRRAS!D726</f>
        <v>0</v>
      </c>
      <c r="D713" s="374">
        <f>PRRAS!E726</f>
        <v>0</v>
      </c>
      <c r="E713" s="374"/>
      <c r="F713" s="374"/>
      <c r="G713" s="375">
        <f t="shared" si="22"/>
        <v>0</v>
      </c>
      <c r="H713" s="375">
        <f t="shared" si="23"/>
        <v>0</v>
      </c>
      <c r="I713" s="376">
        <v>0</v>
      </c>
    </row>
    <row r="714" spans="1:9" x14ac:dyDescent="0.25">
      <c r="A714" s="373">
        <v>151</v>
      </c>
      <c r="B714" s="374">
        <f>PRRAS!C727</f>
        <v>713</v>
      </c>
      <c r="C714" s="374">
        <f>PRRAS!D727</f>
        <v>0</v>
      </c>
      <c r="D714" s="374">
        <f>PRRAS!E727</f>
        <v>0</v>
      </c>
      <c r="E714" s="374"/>
      <c r="F714" s="374"/>
      <c r="G714" s="375">
        <f t="shared" si="22"/>
        <v>0</v>
      </c>
      <c r="H714" s="375">
        <f t="shared" si="23"/>
        <v>0</v>
      </c>
      <c r="I714" s="376">
        <v>0</v>
      </c>
    </row>
    <row r="715" spans="1:9" x14ac:dyDescent="0.25">
      <c r="A715" s="373">
        <v>151</v>
      </c>
      <c r="B715" s="374">
        <f>PRRAS!C728</f>
        <v>714</v>
      </c>
      <c r="C715" s="374">
        <f>PRRAS!D728</f>
        <v>0</v>
      </c>
      <c r="D715" s="374">
        <f>PRRAS!E728</f>
        <v>0</v>
      </c>
      <c r="E715" s="374"/>
      <c r="F715" s="374"/>
      <c r="G715" s="375">
        <f t="shared" si="22"/>
        <v>0</v>
      </c>
      <c r="H715" s="375">
        <f t="shared" si="23"/>
        <v>0</v>
      </c>
      <c r="I715" s="376">
        <v>0</v>
      </c>
    </row>
    <row r="716" spans="1:9" x14ac:dyDescent="0.25">
      <c r="A716" s="373">
        <v>151</v>
      </c>
      <c r="B716" s="374">
        <f>PRRAS!C729</f>
        <v>715</v>
      </c>
      <c r="C716" s="374">
        <f>PRRAS!D729</f>
        <v>0</v>
      </c>
      <c r="D716" s="374">
        <f>PRRAS!E729</f>
        <v>0</v>
      </c>
      <c r="E716" s="374"/>
      <c r="F716" s="374"/>
      <c r="G716" s="375">
        <f t="shared" si="22"/>
        <v>0</v>
      </c>
      <c r="H716" s="375">
        <f t="shared" si="23"/>
        <v>0</v>
      </c>
      <c r="I716" s="376">
        <v>0</v>
      </c>
    </row>
    <row r="717" spans="1:9" x14ac:dyDescent="0.25">
      <c r="A717" s="373">
        <v>151</v>
      </c>
      <c r="B717" s="374">
        <f>PRRAS!C730</f>
        <v>716</v>
      </c>
      <c r="C717" s="374">
        <f>PRRAS!D730</f>
        <v>0</v>
      </c>
      <c r="D717" s="374">
        <f>PRRAS!E730</f>
        <v>0</v>
      </c>
      <c r="E717" s="374"/>
      <c r="F717" s="374"/>
      <c r="G717" s="375">
        <f t="shared" si="22"/>
        <v>0</v>
      </c>
      <c r="H717" s="375">
        <f t="shared" si="23"/>
        <v>0</v>
      </c>
      <c r="I717" s="376">
        <v>0</v>
      </c>
    </row>
    <row r="718" spans="1:9" x14ac:dyDescent="0.25">
      <c r="A718" s="373">
        <v>151</v>
      </c>
      <c r="B718" s="374">
        <f>PRRAS!C731</f>
        <v>717</v>
      </c>
      <c r="C718" s="374">
        <f>PRRAS!D731</f>
        <v>0</v>
      </c>
      <c r="D718" s="374">
        <f>PRRAS!E731</f>
        <v>0</v>
      </c>
      <c r="E718" s="374"/>
      <c r="F718" s="374"/>
      <c r="G718" s="375">
        <f t="shared" si="22"/>
        <v>0</v>
      </c>
      <c r="H718" s="375">
        <f t="shared" si="23"/>
        <v>0</v>
      </c>
      <c r="I718" s="376">
        <v>0</v>
      </c>
    </row>
    <row r="719" spans="1:9" x14ac:dyDescent="0.25">
      <c r="A719" s="373">
        <v>151</v>
      </c>
      <c r="B719" s="374">
        <f>PRRAS!C732</f>
        <v>718</v>
      </c>
      <c r="C719" s="374">
        <f>PRRAS!D732</f>
        <v>0</v>
      </c>
      <c r="D719" s="374">
        <f>PRRAS!E732</f>
        <v>0</v>
      </c>
      <c r="E719" s="374"/>
      <c r="F719" s="374"/>
      <c r="G719" s="375">
        <f t="shared" si="22"/>
        <v>0</v>
      </c>
      <c r="H719" s="375">
        <f t="shared" si="23"/>
        <v>0</v>
      </c>
      <c r="I719" s="376">
        <v>0</v>
      </c>
    </row>
    <row r="720" spans="1:9" x14ac:dyDescent="0.25">
      <c r="A720" s="373">
        <v>151</v>
      </c>
      <c r="B720" s="374">
        <f>PRRAS!C733</f>
        <v>719</v>
      </c>
      <c r="C720" s="374">
        <f>PRRAS!D733</f>
        <v>0</v>
      </c>
      <c r="D720" s="374">
        <f>PRRAS!E733</f>
        <v>0</v>
      </c>
      <c r="E720" s="374"/>
      <c r="F720" s="374"/>
      <c r="G720" s="375">
        <f t="shared" si="22"/>
        <v>0</v>
      </c>
      <c r="H720" s="375">
        <f t="shared" si="23"/>
        <v>0</v>
      </c>
      <c r="I720" s="376">
        <v>0</v>
      </c>
    </row>
    <row r="721" spans="1:9" x14ac:dyDescent="0.25">
      <c r="A721" s="373">
        <v>151</v>
      </c>
      <c r="B721" s="374">
        <f>PRRAS!C734</f>
        <v>720</v>
      </c>
      <c r="C721" s="374">
        <f>PRRAS!D734</f>
        <v>0</v>
      </c>
      <c r="D721" s="374">
        <f>PRRAS!E734</f>
        <v>0</v>
      </c>
      <c r="E721" s="374"/>
      <c r="F721" s="374"/>
      <c r="G721" s="375">
        <f t="shared" si="22"/>
        <v>0</v>
      </c>
      <c r="H721" s="375">
        <f t="shared" si="23"/>
        <v>0</v>
      </c>
      <c r="I721" s="376">
        <v>0</v>
      </c>
    </row>
    <row r="722" spans="1:9" x14ac:dyDescent="0.25">
      <c r="A722" s="373">
        <v>151</v>
      </c>
      <c r="B722" s="374">
        <f>PRRAS!C735</f>
        <v>721</v>
      </c>
      <c r="C722" s="374">
        <f>PRRAS!D735</f>
        <v>300129</v>
      </c>
      <c r="D722" s="374">
        <f>PRRAS!E735</f>
        <v>1101465</v>
      </c>
      <c r="E722" s="374"/>
      <c r="F722" s="374"/>
      <c r="G722" s="375">
        <f t="shared" si="22"/>
        <v>1804705.5389999999</v>
      </c>
      <c r="H722" s="375">
        <f t="shared" si="23"/>
        <v>0</v>
      </c>
      <c r="I722" s="376">
        <v>0</v>
      </c>
    </row>
    <row r="723" spans="1:9" x14ac:dyDescent="0.25">
      <c r="A723" s="373">
        <v>151</v>
      </c>
      <c r="B723" s="374">
        <f>PRRAS!C736</f>
        <v>722</v>
      </c>
      <c r="C723" s="374">
        <f>PRRAS!D736</f>
        <v>0</v>
      </c>
      <c r="D723" s="374">
        <f>PRRAS!E736</f>
        <v>0</v>
      </c>
      <c r="E723" s="374"/>
      <c r="F723" s="374"/>
      <c r="G723" s="375">
        <f t="shared" si="22"/>
        <v>0</v>
      </c>
      <c r="H723" s="375">
        <f t="shared" si="23"/>
        <v>0</v>
      </c>
      <c r="I723" s="376">
        <v>0</v>
      </c>
    </row>
    <row r="724" spans="1:9" x14ac:dyDescent="0.25">
      <c r="A724" s="373">
        <v>151</v>
      </c>
      <c r="B724" s="374">
        <f>PRRAS!C737</f>
        <v>723</v>
      </c>
      <c r="C724" s="374">
        <f>PRRAS!D737</f>
        <v>0</v>
      </c>
      <c r="D724" s="374">
        <f>PRRAS!E737</f>
        <v>0</v>
      </c>
      <c r="E724" s="374"/>
      <c r="F724" s="374"/>
      <c r="G724" s="375">
        <f t="shared" si="22"/>
        <v>0</v>
      </c>
      <c r="H724" s="375">
        <f t="shared" si="23"/>
        <v>0</v>
      </c>
      <c r="I724" s="376">
        <v>0</v>
      </c>
    </row>
    <row r="725" spans="1:9" x14ac:dyDescent="0.25">
      <c r="A725" s="373">
        <v>151</v>
      </c>
      <c r="B725" s="374">
        <f>PRRAS!C738</f>
        <v>724</v>
      </c>
      <c r="C725" s="374">
        <f>PRRAS!D738</f>
        <v>0</v>
      </c>
      <c r="D725" s="374">
        <f>PRRAS!E738</f>
        <v>0</v>
      </c>
      <c r="E725" s="374"/>
      <c r="F725" s="374"/>
      <c r="G725" s="375">
        <f t="shared" si="22"/>
        <v>0</v>
      </c>
      <c r="H725" s="375">
        <f t="shared" si="23"/>
        <v>0</v>
      </c>
      <c r="I725" s="376">
        <v>0</v>
      </c>
    </row>
    <row r="726" spans="1:9" x14ac:dyDescent="0.25">
      <c r="A726" s="373">
        <v>151</v>
      </c>
      <c r="B726" s="374">
        <f>PRRAS!C739</f>
        <v>725</v>
      </c>
      <c r="C726" s="374">
        <f>PRRAS!D739</f>
        <v>0</v>
      </c>
      <c r="D726" s="374">
        <f>PRRAS!E739</f>
        <v>0</v>
      </c>
      <c r="E726" s="374"/>
      <c r="F726" s="374"/>
      <c r="G726" s="375">
        <f t="shared" si="22"/>
        <v>0</v>
      </c>
      <c r="H726" s="375">
        <f t="shared" si="23"/>
        <v>0</v>
      </c>
      <c r="I726" s="376">
        <v>0</v>
      </c>
    </row>
    <row r="727" spans="1:9" x14ac:dyDescent="0.25">
      <c r="A727" s="373">
        <v>151</v>
      </c>
      <c r="B727" s="374">
        <f>PRRAS!C740</f>
        <v>726</v>
      </c>
      <c r="C727" s="374">
        <f>PRRAS!D740</f>
        <v>0</v>
      </c>
      <c r="D727" s="374">
        <f>PRRAS!E740</f>
        <v>0</v>
      </c>
      <c r="E727" s="374"/>
      <c r="F727" s="374"/>
      <c r="G727" s="375">
        <f t="shared" si="22"/>
        <v>0</v>
      </c>
      <c r="H727" s="375">
        <f t="shared" si="23"/>
        <v>0</v>
      </c>
      <c r="I727" s="376">
        <v>0</v>
      </c>
    </row>
    <row r="728" spans="1:9" x14ac:dyDescent="0.25">
      <c r="A728" s="373">
        <v>151</v>
      </c>
      <c r="B728" s="374">
        <f>PRRAS!C741</f>
        <v>727</v>
      </c>
      <c r="C728" s="374">
        <f>PRRAS!D741</f>
        <v>0</v>
      </c>
      <c r="D728" s="374">
        <f>PRRAS!E741</f>
        <v>0</v>
      </c>
      <c r="E728" s="374"/>
      <c r="F728" s="374"/>
      <c r="G728" s="375">
        <f t="shared" si="22"/>
        <v>0</v>
      </c>
      <c r="H728" s="375">
        <f t="shared" si="23"/>
        <v>0</v>
      </c>
      <c r="I728" s="376">
        <v>0</v>
      </c>
    </row>
    <row r="729" spans="1:9" x14ac:dyDescent="0.25">
      <c r="A729" s="373">
        <v>151</v>
      </c>
      <c r="B729" s="374">
        <f>PRRAS!C742</f>
        <v>728</v>
      </c>
      <c r="C729" s="374">
        <f>PRRAS!D742</f>
        <v>0</v>
      </c>
      <c r="D729" s="374">
        <f>PRRAS!E742</f>
        <v>0</v>
      </c>
      <c r="E729" s="374"/>
      <c r="F729" s="374"/>
      <c r="G729" s="375">
        <f t="shared" si="22"/>
        <v>0</v>
      </c>
      <c r="H729" s="375">
        <f t="shared" si="23"/>
        <v>0</v>
      </c>
      <c r="I729" s="376">
        <v>0</v>
      </c>
    </row>
    <row r="730" spans="1:9" x14ac:dyDescent="0.25">
      <c r="A730" s="373">
        <v>151</v>
      </c>
      <c r="B730" s="374">
        <f>PRRAS!C743</f>
        <v>729</v>
      </c>
      <c r="C730" s="374">
        <f>PRRAS!D743</f>
        <v>0</v>
      </c>
      <c r="D730" s="374">
        <f>PRRAS!E743</f>
        <v>0</v>
      </c>
      <c r="E730" s="374"/>
      <c r="F730" s="374"/>
      <c r="G730" s="375">
        <f t="shared" si="22"/>
        <v>0</v>
      </c>
      <c r="H730" s="375">
        <f t="shared" si="23"/>
        <v>0</v>
      </c>
      <c r="I730" s="376">
        <v>0</v>
      </c>
    </row>
    <row r="731" spans="1:9" x14ac:dyDescent="0.25">
      <c r="A731" s="373">
        <v>151</v>
      </c>
      <c r="B731" s="374">
        <f>PRRAS!C744</f>
        <v>730</v>
      </c>
      <c r="C731" s="374">
        <f>PRRAS!D744</f>
        <v>0</v>
      </c>
      <c r="D731" s="374">
        <f>PRRAS!E744</f>
        <v>0</v>
      </c>
      <c r="E731" s="374"/>
      <c r="F731" s="374"/>
      <c r="G731" s="375">
        <f t="shared" si="22"/>
        <v>0</v>
      </c>
      <c r="H731" s="375">
        <f t="shared" si="23"/>
        <v>0</v>
      </c>
      <c r="I731" s="376">
        <v>0</v>
      </c>
    </row>
    <row r="732" spans="1:9" x14ac:dyDescent="0.25">
      <c r="A732" s="373">
        <v>151</v>
      </c>
      <c r="B732" s="374">
        <f>PRRAS!C745</f>
        <v>731</v>
      </c>
      <c r="C732" s="374">
        <f>PRRAS!D745</f>
        <v>38700</v>
      </c>
      <c r="D732" s="374">
        <f>PRRAS!E745</f>
        <v>69413</v>
      </c>
      <c r="E732" s="374"/>
      <c r="F732" s="374"/>
      <c r="G732" s="375">
        <f t="shared" si="22"/>
        <v>129771.50599999999</v>
      </c>
      <c r="H732" s="375">
        <f t="shared" si="23"/>
        <v>0</v>
      </c>
      <c r="I732" s="376">
        <v>0</v>
      </c>
    </row>
    <row r="733" spans="1:9" x14ac:dyDescent="0.25">
      <c r="A733" s="373">
        <v>151</v>
      </c>
      <c r="B733" s="374">
        <f>PRRAS!C746</f>
        <v>732</v>
      </c>
      <c r="C733" s="374">
        <f>PRRAS!D746</f>
        <v>0</v>
      </c>
      <c r="D733" s="374">
        <f>PRRAS!E746</f>
        <v>0</v>
      </c>
      <c r="E733" s="374"/>
      <c r="F733" s="374"/>
      <c r="G733" s="375">
        <f t="shared" si="22"/>
        <v>0</v>
      </c>
      <c r="H733" s="375">
        <f t="shared" si="23"/>
        <v>0</v>
      </c>
      <c r="I733" s="376">
        <v>0</v>
      </c>
    </row>
    <row r="734" spans="1:9" x14ac:dyDescent="0.25">
      <c r="A734" s="373">
        <v>151</v>
      </c>
      <c r="B734" s="374">
        <f>PRRAS!C747</f>
        <v>733</v>
      </c>
      <c r="C734" s="374">
        <f>PRRAS!D747</f>
        <v>19535</v>
      </c>
      <c r="D734" s="374">
        <f>PRRAS!E747</f>
        <v>7618</v>
      </c>
      <c r="E734" s="374"/>
      <c r="F734" s="374"/>
      <c r="G734" s="375">
        <f t="shared" si="22"/>
        <v>25487.143</v>
      </c>
      <c r="H734" s="375">
        <f t="shared" si="23"/>
        <v>0</v>
      </c>
      <c r="I734" s="376">
        <v>0</v>
      </c>
    </row>
    <row r="735" spans="1:9" x14ac:dyDescent="0.25">
      <c r="A735" s="373">
        <v>151</v>
      </c>
      <c r="B735" s="374">
        <f>PRRAS!C748</f>
        <v>734</v>
      </c>
      <c r="C735" s="374">
        <f>PRRAS!D748</f>
        <v>0</v>
      </c>
      <c r="D735" s="374">
        <f>PRRAS!E748</f>
        <v>0</v>
      </c>
      <c r="E735" s="374"/>
      <c r="F735" s="374"/>
      <c r="G735" s="375">
        <f t="shared" si="22"/>
        <v>0</v>
      </c>
      <c r="H735" s="375">
        <f t="shared" si="23"/>
        <v>0</v>
      </c>
      <c r="I735" s="376">
        <v>0</v>
      </c>
    </row>
    <row r="736" spans="1:9" x14ac:dyDescent="0.25">
      <c r="A736" s="373">
        <v>151</v>
      </c>
      <c r="B736" s="374">
        <f>PRRAS!C749</f>
        <v>735</v>
      </c>
      <c r="C736" s="374">
        <f>PRRAS!D749</f>
        <v>0</v>
      </c>
      <c r="D736" s="374">
        <f>PRRAS!E749</f>
        <v>0</v>
      </c>
      <c r="E736" s="374"/>
      <c r="F736" s="374"/>
      <c r="G736" s="375">
        <f t="shared" si="22"/>
        <v>0</v>
      </c>
      <c r="H736" s="375">
        <f t="shared" si="23"/>
        <v>0</v>
      </c>
      <c r="I736" s="376">
        <v>0</v>
      </c>
    </row>
    <row r="737" spans="1:9" x14ac:dyDescent="0.25">
      <c r="A737" s="373">
        <v>151</v>
      </c>
      <c r="B737" s="374">
        <f>PRRAS!C750</f>
        <v>736</v>
      </c>
      <c r="C737" s="374">
        <f>PRRAS!D750</f>
        <v>0</v>
      </c>
      <c r="D737" s="374">
        <f>PRRAS!E750</f>
        <v>0</v>
      </c>
      <c r="E737" s="374"/>
      <c r="F737" s="374"/>
      <c r="G737" s="375">
        <f t="shared" si="22"/>
        <v>0</v>
      </c>
      <c r="H737" s="375">
        <f t="shared" si="23"/>
        <v>0</v>
      </c>
      <c r="I737" s="376">
        <v>0</v>
      </c>
    </row>
    <row r="738" spans="1:9" x14ac:dyDescent="0.25">
      <c r="A738" s="373">
        <v>151</v>
      </c>
      <c r="B738" s="374">
        <f>PRRAS!C751</f>
        <v>737</v>
      </c>
      <c r="C738" s="374">
        <f>PRRAS!D751</f>
        <v>3005864</v>
      </c>
      <c r="D738" s="374">
        <f>PRRAS!E751</f>
        <v>3227293</v>
      </c>
      <c r="E738" s="374"/>
      <c r="F738" s="374"/>
      <c r="G738" s="375">
        <f t="shared" si="22"/>
        <v>6972351.6499999994</v>
      </c>
      <c r="H738" s="375">
        <f t="shared" si="23"/>
        <v>0</v>
      </c>
      <c r="I738" s="376">
        <v>0</v>
      </c>
    </row>
    <row r="739" spans="1:9" x14ac:dyDescent="0.25">
      <c r="A739" s="373">
        <v>151</v>
      </c>
      <c r="B739" s="374">
        <f>PRRAS!C752</f>
        <v>738</v>
      </c>
      <c r="C739" s="374">
        <f>PRRAS!D752</f>
        <v>0</v>
      </c>
      <c r="D739" s="374">
        <f>PRRAS!E752</f>
        <v>0</v>
      </c>
      <c r="E739" s="374"/>
      <c r="F739" s="374"/>
      <c r="G739" s="375">
        <f t="shared" si="22"/>
        <v>0</v>
      </c>
      <c r="H739" s="375">
        <f t="shared" si="23"/>
        <v>0</v>
      </c>
      <c r="I739" s="376">
        <v>0</v>
      </c>
    </row>
    <row r="740" spans="1:9" x14ac:dyDescent="0.25">
      <c r="A740" s="373">
        <v>151</v>
      </c>
      <c r="B740" s="374">
        <f>PRRAS!C753</f>
        <v>739</v>
      </c>
      <c r="C740" s="374">
        <f>PRRAS!D753</f>
        <v>0</v>
      </c>
      <c r="D740" s="374">
        <f>PRRAS!E753</f>
        <v>0</v>
      </c>
      <c r="E740" s="374"/>
      <c r="F740" s="374"/>
      <c r="G740" s="375">
        <f t="shared" si="22"/>
        <v>0</v>
      </c>
      <c r="H740" s="375">
        <f t="shared" si="23"/>
        <v>0</v>
      </c>
      <c r="I740" s="376">
        <v>0</v>
      </c>
    </row>
    <row r="741" spans="1:9" x14ac:dyDescent="0.25">
      <c r="A741" s="373">
        <v>151</v>
      </c>
      <c r="B741" s="374">
        <f>PRRAS!C754</f>
        <v>740</v>
      </c>
      <c r="C741" s="374">
        <f>PRRAS!D754</f>
        <v>0</v>
      </c>
      <c r="D741" s="374">
        <f>PRRAS!E754</f>
        <v>0</v>
      </c>
      <c r="E741" s="374"/>
      <c r="F741" s="374"/>
      <c r="G741" s="375">
        <f t="shared" si="22"/>
        <v>0</v>
      </c>
      <c r="H741" s="375">
        <f t="shared" si="23"/>
        <v>0</v>
      </c>
      <c r="I741" s="376">
        <v>0</v>
      </c>
    </row>
    <row r="742" spans="1:9" x14ac:dyDescent="0.25">
      <c r="A742" s="373">
        <v>151</v>
      </c>
      <c r="B742" s="374">
        <f>PRRAS!C755</f>
        <v>741</v>
      </c>
      <c r="C742" s="374">
        <f>PRRAS!D755</f>
        <v>0</v>
      </c>
      <c r="D742" s="374">
        <f>PRRAS!E755</f>
        <v>0</v>
      </c>
      <c r="E742" s="374"/>
      <c r="F742" s="374"/>
      <c r="G742" s="375">
        <f t="shared" si="22"/>
        <v>0</v>
      </c>
      <c r="H742" s="375">
        <f t="shared" si="23"/>
        <v>0</v>
      </c>
      <c r="I742" s="376">
        <v>0</v>
      </c>
    </row>
    <row r="743" spans="1:9" x14ac:dyDescent="0.25">
      <c r="A743" s="373">
        <v>151</v>
      </c>
      <c r="B743" s="374">
        <f>PRRAS!C756</f>
        <v>742</v>
      </c>
      <c r="C743" s="374">
        <f>PRRAS!D756</f>
        <v>0</v>
      </c>
      <c r="D743" s="374">
        <f>PRRAS!E756</f>
        <v>0</v>
      </c>
      <c r="E743" s="374"/>
      <c r="F743" s="374"/>
      <c r="G743" s="375">
        <f t="shared" si="22"/>
        <v>0</v>
      </c>
      <c r="H743" s="375">
        <f t="shared" si="23"/>
        <v>0</v>
      </c>
      <c r="I743" s="376">
        <v>0</v>
      </c>
    </row>
    <row r="744" spans="1:9" x14ac:dyDescent="0.25">
      <c r="A744" s="373">
        <v>151</v>
      </c>
      <c r="B744" s="374">
        <f>PRRAS!C757</f>
        <v>743</v>
      </c>
      <c r="C744" s="374">
        <f>PRRAS!D757</f>
        <v>0</v>
      </c>
      <c r="D744" s="374">
        <f>PRRAS!E757</f>
        <v>0</v>
      </c>
      <c r="E744" s="374"/>
      <c r="F744" s="374"/>
      <c r="G744" s="375">
        <f t="shared" si="22"/>
        <v>0</v>
      </c>
      <c r="H744" s="375">
        <f t="shared" si="23"/>
        <v>0</v>
      </c>
      <c r="I744" s="376">
        <v>0</v>
      </c>
    </row>
    <row r="745" spans="1:9" x14ac:dyDescent="0.25">
      <c r="A745" s="373">
        <v>151</v>
      </c>
      <c r="B745" s="374">
        <f>PRRAS!C758</f>
        <v>744</v>
      </c>
      <c r="C745" s="374">
        <f>PRRAS!D758</f>
        <v>0</v>
      </c>
      <c r="D745" s="374">
        <f>PRRAS!E758</f>
        <v>0</v>
      </c>
      <c r="E745" s="374"/>
      <c r="F745" s="374"/>
      <c r="G745" s="375">
        <f t="shared" si="22"/>
        <v>0</v>
      </c>
      <c r="H745" s="375">
        <f t="shared" si="23"/>
        <v>0</v>
      </c>
      <c r="I745" s="376">
        <v>0</v>
      </c>
    </row>
    <row r="746" spans="1:9" x14ac:dyDescent="0.25">
      <c r="A746" s="373">
        <v>151</v>
      </c>
      <c r="B746" s="374">
        <f>PRRAS!C759</f>
        <v>745</v>
      </c>
      <c r="C746" s="374">
        <f>PRRAS!D759</f>
        <v>0</v>
      </c>
      <c r="D746" s="374">
        <f>PRRAS!E759</f>
        <v>0</v>
      </c>
      <c r="E746" s="374"/>
      <c r="F746" s="374"/>
      <c r="G746" s="375">
        <f t="shared" si="22"/>
        <v>0</v>
      </c>
      <c r="H746" s="375">
        <f t="shared" si="23"/>
        <v>0</v>
      </c>
      <c r="I746" s="376">
        <v>0</v>
      </c>
    </row>
    <row r="747" spans="1:9" x14ac:dyDescent="0.25">
      <c r="A747" s="373">
        <v>151</v>
      </c>
      <c r="B747" s="374">
        <f>PRRAS!C760</f>
        <v>746</v>
      </c>
      <c r="C747" s="374">
        <f>PRRAS!D760</f>
        <v>0</v>
      </c>
      <c r="D747" s="374">
        <f>PRRAS!E760</f>
        <v>0</v>
      </c>
      <c r="E747" s="374"/>
      <c r="F747" s="374"/>
      <c r="G747" s="375">
        <f t="shared" si="22"/>
        <v>0</v>
      </c>
      <c r="H747" s="375">
        <f t="shared" si="23"/>
        <v>0</v>
      </c>
      <c r="I747" s="376">
        <v>0</v>
      </c>
    </row>
    <row r="748" spans="1:9" x14ac:dyDescent="0.25">
      <c r="A748" s="373">
        <v>151</v>
      </c>
      <c r="B748" s="374">
        <f>PRRAS!C761</f>
        <v>747</v>
      </c>
      <c r="C748" s="374">
        <f>PRRAS!D761</f>
        <v>0</v>
      </c>
      <c r="D748" s="374">
        <f>PRRAS!E761</f>
        <v>0</v>
      </c>
      <c r="E748" s="374"/>
      <c r="F748" s="374"/>
      <c r="G748" s="375">
        <f t="shared" si="22"/>
        <v>0</v>
      </c>
      <c r="H748" s="375">
        <f t="shared" si="23"/>
        <v>0</v>
      </c>
      <c r="I748" s="376">
        <v>0</v>
      </c>
    </row>
    <row r="749" spans="1:9" x14ac:dyDescent="0.25">
      <c r="A749" s="373">
        <v>151</v>
      </c>
      <c r="B749" s="374">
        <f>PRRAS!C762</f>
        <v>748</v>
      </c>
      <c r="C749" s="374">
        <f>PRRAS!D762</f>
        <v>0</v>
      </c>
      <c r="D749" s="374">
        <f>PRRAS!E762</f>
        <v>0</v>
      </c>
      <c r="E749" s="374"/>
      <c r="F749" s="374"/>
      <c r="G749" s="375">
        <f t="shared" si="22"/>
        <v>0</v>
      </c>
      <c r="H749" s="375">
        <f t="shared" si="23"/>
        <v>0</v>
      </c>
      <c r="I749" s="376">
        <v>0</v>
      </c>
    </row>
    <row r="750" spans="1:9" x14ac:dyDescent="0.25">
      <c r="A750" s="373">
        <v>151</v>
      </c>
      <c r="B750" s="374">
        <f>PRRAS!C763</f>
        <v>749</v>
      </c>
      <c r="C750" s="374">
        <f>PRRAS!D763</f>
        <v>0</v>
      </c>
      <c r="D750" s="374">
        <f>PRRAS!E763</f>
        <v>0</v>
      </c>
      <c r="E750" s="374"/>
      <c r="F750" s="374"/>
      <c r="G750" s="375">
        <f t="shared" si="22"/>
        <v>0</v>
      </c>
      <c r="H750" s="375">
        <f t="shared" si="23"/>
        <v>0</v>
      </c>
      <c r="I750" s="376">
        <v>0</v>
      </c>
    </row>
    <row r="751" spans="1:9" x14ac:dyDescent="0.25">
      <c r="A751" s="373">
        <v>151</v>
      </c>
      <c r="B751" s="374">
        <f>PRRAS!C764</f>
        <v>750</v>
      </c>
      <c r="C751" s="374">
        <f>PRRAS!D764</f>
        <v>0</v>
      </c>
      <c r="D751" s="374">
        <f>PRRAS!E764</f>
        <v>0</v>
      </c>
      <c r="E751" s="374"/>
      <c r="F751" s="374"/>
      <c r="G751" s="375">
        <f t="shared" si="22"/>
        <v>0</v>
      </c>
      <c r="H751" s="375">
        <f t="shared" si="23"/>
        <v>0</v>
      </c>
      <c r="I751" s="376">
        <v>0</v>
      </c>
    </row>
    <row r="752" spans="1:9" x14ac:dyDescent="0.25">
      <c r="A752" s="373">
        <v>151</v>
      </c>
      <c r="B752" s="374">
        <f>PRRAS!C765</f>
        <v>751</v>
      </c>
      <c r="C752" s="374">
        <f>PRRAS!D765</f>
        <v>0</v>
      </c>
      <c r="D752" s="374">
        <f>PRRAS!E765</f>
        <v>0</v>
      </c>
      <c r="E752" s="374"/>
      <c r="F752" s="374"/>
      <c r="G752" s="375">
        <f t="shared" si="22"/>
        <v>0</v>
      </c>
      <c r="H752" s="375">
        <f t="shared" si="23"/>
        <v>0</v>
      </c>
      <c r="I752" s="376">
        <v>0</v>
      </c>
    </row>
    <row r="753" spans="1:9" x14ac:dyDescent="0.25">
      <c r="A753" s="373">
        <v>151</v>
      </c>
      <c r="B753" s="374">
        <f>PRRAS!C766</f>
        <v>752</v>
      </c>
      <c r="C753" s="374">
        <f>PRRAS!D766</f>
        <v>0</v>
      </c>
      <c r="D753" s="374">
        <f>PRRAS!E766</f>
        <v>0</v>
      </c>
      <c r="E753" s="374"/>
      <c r="F753" s="374"/>
      <c r="G753" s="375">
        <f t="shared" si="22"/>
        <v>0</v>
      </c>
      <c r="H753" s="375">
        <f t="shared" si="23"/>
        <v>0</v>
      </c>
      <c r="I753" s="376">
        <v>0</v>
      </c>
    </row>
    <row r="754" spans="1:9" x14ac:dyDescent="0.25">
      <c r="A754" s="373">
        <v>151</v>
      </c>
      <c r="B754" s="374">
        <f>PRRAS!C767</f>
        <v>753</v>
      </c>
      <c r="C754" s="374">
        <f>PRRAS!D767</f>
        <v>0</v>
      </c>
      <c r="D754" s="374">
        <f>PRRAS!E767</f>
        <v>0</v>
      </c>
      <c r="E754" s="374"/>
      <c r="F754" s="374"/>
      <c r="G754" s="375">
        <f t="shared" si="22"/>
        <v>0</v>
      </c>
      <c r="H754" s="375">
        <f t="shared" si="23"/>
        <v>0</v>
      </c>
      <c r="I754" s="376">
        <v>0</v>
      </c>
    </row>
    <row r="755" spans="1:9" x14ac:dyDescent="0.25">
      <c r="A755" s="373">
        <v>151</v>
      </c>
      <c r="B755" s="374">
        <f>PRRAS!C768</f>
        <v>754</v>
      </c>
      <c r="C755" s="374">
        <f>PRRAS!D768</f>
        <v>0</v>
      </c>
      <c r="D755" s="374">
        <f>PRRAS!E768</f>
        <v>0</v>
      </c>
      <c r="E755" s="374"/>
      <c r="F755" s="374"/>
      <c r="G755" s="375">
        <f t="shared" si="22"/>
        <v>0</v>
      </c>
      <c r="H755" s="375">
        <f t="shared" si="23"/>
        <v>0</v>
      </c>
      <c r="I755" s="376">
        <v>0</v>
      </c>
    </row>
    <row r="756" spans="1:9" x14ac:dyDescent="0.25">
      <c r="A756" s="373">
        <v>151</v>
      </c>
      <c r="B756" s="374">
        <f>PRRAS!C769</f>
        <v>755</v>
      </c>
      <c r="C756" s="374">
        <f>PRRAS!D769</f>
        <v>0</v>
      </c>
      <c r="D756" s="374">
        <f>PRRAS!E769</f>
        <v>0</v>
      </c>
      <c r="E756" s="374"/>
      <c r="F756" s="374"/>
      <c r="G756" s="375">
        <f t="shared" si="22"/>
        <v>0</v>
      </c>
      <c r="H756" s="375">
        <f t="shared" si="23"/>
        <v>0</v>
      </c>
      <c r="I756" s="376">
        <v>0</v>
      </c>
    </row>
    <row r="757" spans="1:9" x14ac:dyDescent="0.25">
      <c r="A757" s="373">
        <v>151</v>
      </c>
      <c r="B757" s="374">
        <f>PRRAS!C770</f>
        <v>756</v>
      </c>
      <c r="C757" s="374">
        <f>PRRAS!D770</f>
        <v>0</v>
      </c>
      <c r="D757" s="374">
        <f>PRRAS!E770</f>
        <v>0</v>
      </c>
      <c r="E757" s="374"/>
      <c r="F757" s="374"/>
      <c r="G757" s="375">
        <f t="shared" si="22"/>
        <v>0</v>
      </c>
      <c r="H757" s="375">
        <f t="shared" si="23"/>
        <v>0</v>
      </c>
      <c r="I757" s="376">
        <v>0</v>
      </c>
    </row>
    <row r="758" spans="1:9" x14ac:dyDescent="0.25">
      <c r="A758" s="373">
        <v>151</v>
      </c>
      <c r="B758" s="374">
        <f>PRRAS!C771</f>
        <v>757</v>
      </c>
      <c r="C758" s="374">
        <f>PRRAS!D771</f>
        <v>0</v>
      </c>
      <c r="D758" s="374">
        <f>PRRAS!E771</f>
        <v>0</v>
      </c>
      <c r="E758" s="374"/>
      <c r="F758" s="374"/>
      <c r="G758" s="375">
        <f t="shared" si="22"/>
        <v>0</v>
      </c>
      <c r="H758" s="375">
        <f t="shared" si="23"/>
        <v>0</v>
      </c>
      <c r="I758" s="376">
        <v>0</v>
      </c>
    </row>
    <row r="759" spans="1:9" x14ac:dyDescent="0.25">
      <c r="A759" s="373">
        <v>151</v>
      </c>
      <c r="B759" s="374">
        <f>PRRAS!C772</f>
        <v>758</v>
      </c>
      <c r="C759" s="374">
        <f>PRRAS!D772</f>
        <v>0</v>
      </c>
      <c r="D759" s="374">
        <f>PRRAS!E772</f>
        <v>0</v>
      </c>
      <c r="E759" s="374"/>
      <c r="F759" s="374"/>
      <c r="G759" s="375">
        <f t="shared" ref="G759:G766" si="24">(B759/1000)*(C759*1+D759*2)</f>
        <v>0</v>
      </c>
      <c r="H759" s="375">
        <f t="shared" ref="H759:H766" si="25">ABS(C759-ROUND(C759,0))+ABS(D759-ROUND(D759,0))</f>
        <v>0</v>
      </c>
      <c r="I759" s="376">
        <v>0</v>
      </c>
    </row>
    <row r="760" spans="1:9" x14ac:dyDescent="0.25">
      <c r="A760" s="373">
        <v>151</v>
      </c>
      <c r="B760" s="374">
        <f>PRRAS!C773</f>
        <v>759</v>
      </c>
      <c r="C760" s="374">
        <f>PRRAS!D773</f>
        <v>0</v>
      </c>
      <c r="D760" s="374">
        <f>PRRAS!E773</f>
        <v>0</v>
      </c>
      <c r="E760" s="374"/>
      <c r="F760" s="374"/>
      <c r="G760" s="375">
        <f t="shared" si="24"/>
        <v>0</v>
      </c>
      <c r="H760" s="375">
        <f t="shared" si="25"/>
        <v>0</v>
      </c>
      <c r="I760" s="376">
        <v>0</v>
      </c>
    </row>
    <row r="761" spans="1:9" x14ac:dyDescent="0.25">
      <c r="A761" s="373">
        <v>151</v>
      </c>
      <c r="B761" s="374">
        <f>PRRAS!C774</f>
        <v>760</v>
      </c>
      <c r="C761" s="374">
        <f>PRRAS!D774</f>
        <v>0</v>
      </c>
      <c r="D761" s="374">
        <f>PRRAS!E774</f>
        <v>0</v>
      </c>
      <c r="E761" s="374"/>
      <c r="F761" s="374"/>
      <c r="G761" s="375">
        <f t="shared" si="24"/>
        <v>0</v>
      </c>
      <c r="H761" s="375">
        <f t="shared" si="25"/>
        <v>0</v>
      </c>
      <c r="I761" s="376">
        <v>0</v>
      </c>
    </row>
    <row r="762" spans="1:9" x14ac:dyDescent="0.25">
      <c r="A762" s="373">
        <v>151</v>
      </c>
      <c r="B762" s="374">
        <f>PRRAS!C775</f>
        <v>761</v>
      </c>
      <c r="C762" s="374">
        <f>PRRAS!D775</f>
        <v>0</v>
      </c>
      <c r="D762" s="374">
        <f>PRRAS!E775</f>
        <v>0</v>
      </c>
      <c r="E762" s="374"/>
      <c r="F762" s="374"/>
      <c r="G762" s="375">
        <f t="shared" si="24"/>
        <v>0</v>
      </c>
      <c r="H762" s="375">
        <f t="shared" si="25"/>
        <v>0</v>
      </c>
      <c r="I762" s="376">
        <v>0</v>
      </c>
    </row>
    <row r="763" spans="1:9" x14ac:dyDescent="0.25">
      <c r="A763" s="373">
        <v>151</v>
      </c>
      <c r="B763" s="374">
        <f>PRRAS!C776</f>
        <v>762</v>
      </c>
      <c r="C763" s="374">
        <f>PRRAS!D776</f>
        <v>0</v>
      </c>
      <c r="D763" s="374">
        <f>PRRAS!E776</f>
        <v>0</v>
      </c>
      <c r="E763" s="374"/>
      <c r="F763" s="374"/>
      <c r="G763" s="375">
        <f t="shared" si="24"/>
        <v>0</v>
      </c>
      <c r="H763" s="375">
        <f t="shared" si="25"/>
        <v>0</v>
      </c>
      <c r="I763" s="376">
        <v>0</v>
      </c>
    </row>
    <row r="764" spans="1:9" x14ac:dyDescent="0.25">
      <c r="A764" s="373">
        <v>151</v>
      </c>
      <c r="B764" s="374">
        <f>PRRAS!C777</f>
        <v>763</v>
      </c>
      <c r="C764" s="374">
        <f>PRRAS!D777</f>
        <v>0</v>
      </c>
      <c r="D764" s="374">
        <f>PRRAS!E777</f>
        <v>0</v>
      </c>
      <c r="E764" s="374"/>
      <c r="F764" s="374"/>
      <c r="G764" s="375">
        <f t="shared" si="24"/>
        <v>0</v>
      </c>
      <c r="H764" s="375">
        <f t="shared" si="25"/>
        <v>0</v>
      </c>
      <c r="I764" s="376">
        <v>0</v>
      </c>
    </row>
    <row r="765" spans="1:9" x14ac:dyDescent="0.25">
      <c r="A765" s="373">
        <v>151</v>
      </c>
      <c r="B765" s="374">
        <f>PRRAS!C778</f>
        <v>764</v>
      </c>
      <c r="C765" s="374">
        <f>PRRAS!D778</f>
        <v>0</v>
      </c>
      <c r="D765" s="374">
        <f>PRRAS!E778</f>
        <v>0</v>
      </c>
      <c r="E765" s="374"/>
      <c r="F765" s="374"/>
      <c r="G765" s="375">
        <f t="shared" si="24"/>
        <v>0</v>
      </c>
      <c r="H765" s="375">
        <f t="shared" si="25"/>
        <v>0</v>
      </c>
      <c r="I765" s="376">
        <v>0</v>
      </c>
    </row>
    <row r="766" spans="1:9" x14ac:dyDescent="0.25">
      <c r="A766" s="373">
        <v>151</v>
      </c>
      <c r="B766" s="374">
        <f>PRRAS!C779</f>
        <v>765</v>
      </c>
      <c r="C766" s="374">
        <f>PRRAS!D779</f>
        <v>0</v>
      </c>
      <c r="D766" s="374">
        <f>PRRAS!E779</f>
        <v>0</v>
      </c>
      <c r="E766" s="374"/>
      <c r="F766" s="374"/>
      <c r="G766" s="375">
        <f t="shared" si="24"/>
        <v>0</v>
      </c>
      <c r="H766" s="375">
        <f t="shared" si="25"/>
        <v>0</v>
      </c>
      <c r="I766" s="376">
        <v>0</v>
      </c>
    </row>
    <row r="767" spans="1:9" x14ac:dyDescent="0.25">
      <c r="A767" s="373">
        <v>151</v>
      </c>
      <c r="B767" s="374">
        <f>PRRAS!C780</f>
        <v>766</v>
      </c>
      <c r="C767" s="374">
        <f>PRRAS!D780</f>
        <v>0</v>
      </c>
      <c r="D767" s="374">
        <f>PRRAS!E780</f>
        <v>0</v>
      </c>
      <c r="E767" s="374"/>
      <c r="F767" s="374"/>
      <c r="G767" s="375">
        <f t="shared" ref="G767:G830" si="26">(B767/1000)*(C767*1+D767*2)</f>
        <v>0</v>
      </c>
      <c r="H767" s="375">
        <f t="shared" ref="H767:H830" si="27">ABS(C767-ROUND(C767,0))+ABS(D767-ROUND(D767,0))</f>
        <v>0</v>
      </c>
      <c r="I767" s="376">
        <v>0</v>
      </c>
    </row>
    <row r="768" spans="1:9" x14ac:dyDescent="0.25">
      <c r="A768" s="373">
        <v>151</v>
      </c>
      <c r="B768" s="374">
        <f>PRRAS!C781</f>
        <v>767</v>
      </c>
      <c r="C768" s="374">
        <f>PRRAS!D781</f>
        <v>0</v>
      </c>
      <c r="D768" s="374">
        <f>PRRAS!E781</f>
        <v>0</v>
      </c>
      <c r="E768" s="374"/>
      <c r="F768" s="374"/>
      <c r="G768" s="375">
        <f t="shared" si="26"/>
        <v>0</v>
      </c>
      <c r="H768" s="375">
        <f t="shared" si="27"/>
        <v>0</v>
      </c>
      <c r="I768" s="376">
        <v>0</v>
      </c>
    </row>
    <row r="769" spans="1:9" x14ac:dyDescent="0.25">
      <c r="A769" s="373">
        <v>151</v>
      </c>
      <c r="B769" s="374">
        <f>PRRAS!C782</f>
        <v>768</v>
      </c>
      <c r="C769" s="374">
        <f>PRRAS!D782</f>
        <v>0</v>
      </c>
      <c r="D769" s="374">
        <f>PRRAS!E782</f>
        <v>0</v>
      </c>
      <c r="E769" s="374"/>
      <c r="F769" s="374"/>
      <c r="G769" s="375">
        <f t="shared" si="26"/>
        <v>0</v>
      </c>
      <c r="H769" s="375">
        <f t="shared" si="27"/>
        <v>0</v>
      </c>
      <c r="I769" s="376">
        <v>0</v>
      </c>
    </row>
    <row r="770" spans="1:9" x14ac:dyDescent="0.25">
      <c r="A770" s="373">
        <v>151</v>
      </c>
      <c r="B770" s="374">
        <f>PRRAS!C783</f>
        <v>769</v>
      </c>
      <c r="C770" s="374">
        <f>PRRAS!D783</f>
        <v>0</v>
      </c>
      <c r="D770" s="374">
        <f>PRRAS!E783</f>
        <v>0</v>
      </c>
      <c r="E770" s="374"/>
      <c r="F770" s="374"/>
      <c r="G770" s="375">
        <f t="shared" si="26"/>
        <v>0</v>
      </c>
      <c r="H770" s="375">
        <f t="shared" si="27"/>
        <v>0</v>
      </c>
      <c r="I770" s="376">
        <v>0</v>
      </c>
    </row>
    <row r="771" spans="1:9" x14ac:dyDescent="0.25">
      <c r="A771" s="373">
        <v>151</v>
      </c>
      <c r="B771" s="374">
        <f>PRRAS!C784</f>
        <v>770</v>
      </c>
      <c r="C771" s="374">
        <f>PRRAS!D784</f>
        <v>0</v>
      </c>
      <c r="D771" s="374">
        <f>PRRAS!E784</f>
        <v>0</v>
      </c>
      <c r="E771" s="374"/>
      <c r="F771" s="374"/>
      <c r="G771" s="375">
        <f t="shared" si="26"/>
        <v>0</v>
      </c>
      <c r="H771" s="375">
        <f t="shared" si="27"/>
        <v>0</v>
      </c>
      <c r="I771" s="376">
        <v>0</v>
      </c>
    </row>
    <row r="772" spans="1:9" x14ac:dyDescent="0.25">
      <c r="A772" s="373">
        <v>151</v>
      </c>
      <c r="B772" s="374">
        <f>PRRAS!C785</f>
        <v>771</v>
      </c>
      <c r="C772" s="374">
        <f>PRRAS!D785</f>
        <v>0</v>
      </c>
      <c r="D772" s="374">
        <f>PRRAS!E785</f>
        <v>0</v>
      </c>
      <c r="E772" s="374"/>
      <c r="F772" s="374"/>
      <c r="G772" s="375">
        <f t="shared" si="26"/>
        <v>0</v>
      </c>
      <c r="H772" s="375">
        <f t="shared" si="27"/>
        <v>0</v>
      </c>
      <c r="I772" s="376">
        <v>0</v>
      </c>
    </row>
    <row r="773" spans="1:9" x14ac:dyDescent="0.25">
      <c r="A773" s="373">
        <v>151</v>
      </c>
      <c r="B773" s="374">
        <f>PRRAS!C786</f>
        <v>772</v>
      </c>
      <c r="C773" s="374">
        <f>PRRAS!D786</f>
        <v>0</v>
      </c>
      <c r="D773" s="374">
        <f>PRRAS!E786</f>
        <v>0</v>
      </c>
      <c r="E773" s="374"/>
      <c r="F773" s="374"/>
      <c r="G773" s="375">
        <f t="shared" si="26"/>
        <v>0</v>
      </c>
      <c r="H773" s="375">
        <f t="shared" si="27"/>
        <v>0</v>
      </c>
      <c r="I773" s="376">
        <v>0</v>
      </c>
    </row>
    <row r="774" spans="1:9" x14ac:dyDescent="0.25">
      <c r="A774" s="373">
        <v>151</v>
      </c>
      <c r="B774" s="374">
        <f>PRRAS!C787</f>
        <v>773</v>
      </c>
      <c r="C774" s="374">
        <f>PRRAS!D787</f>
        <v>0</v>
      </c>
      <c r="D774" s="374">
        <f>PRRAS!E787</f>
        <v>0</v>
      </c>
      <c r="E774" s="374"/>
      <c r="F774" s="374"/>
      <c r="G774" s="375">
        <f t="shared" si="26"/>
        <v>0</v>
      </c>
      <c r="H774" s="375">
        <f t="shared" si="27"/>
        <v>0</v>
      </c>
      <c r="I774" s="376">
        <v>0</v>
      </c>
    </row>
    <row r="775" spans="1:9" x14ac:dyDescent="0.25">
      <c r="A775" s="373">
        <v>151</v>
      </c>
      <c r="B775" s="374">
        <f>PRRAS!C788</f>
        <v>774</v>
      </c>
      <c r="C775" s="374">
        <f>PRRAS!D788</f>
        <v>0</v>
      </c>
      <c r="D775" s="374">
        <f>PRRAS!E788</f>
        <v>0</v>
      </c>
      <c r="E775" s="374"/>
      <c r="F775" s="374"/>
      <c r="G775" s="375">
        <f t="shared" si="26"/>
        <v>0</v>
      </c>
      <c r="H775" s="375">
        <f t="shared" si="27"/>
        <v>0</v>
      </c>
      <c r="I775" s="376">
        <v>0</v>
      </c>
    </row>
    <row r="776" spans="1:9" x14ac:dyDescent="0.25">
      <c r="A776" s="373">
        <v>151</v>
      </c>
      <c r="B776" s="374">
        <f>PRRAS!C789</f>
        <v>775</v>
      </c>
      <c r="C776" s="374">
        <f>PRRAS!D789</f>
        <v>0</v>
      </c>
      <c r="D776" s="374">
        <f>PRRAS!E789</f>
        <v>0</v>
      </c>
      <c r="E776" s="374"/>
      <c r="F776" s="374"/>
      <c r="G776" s="375">
        <f t="shared" si="26"/>
        <v>0</v>
      </c>
      <c r="H776" s="375">
        <f t="shared" si="27"/>
        <v>0</v>
      </c>
      <c r="I776" s="376">
        <v>0</v>
      </c>
    </row>
    <row r="777" spans="1:9" x14ac:dyDescent="0.25">
      <c r="A777" s="373">
        <v>151</v>
      </c>
      <c r="B777" s="374">
        <f>PRRAS!C790</f>
        <v>776</v>
      </c>
      <c r="C777" s="374">
        <f>PRRAS!D790</f>
        <v>0</v>
      </c>
      <c r="D777" s="374">
        <f>PRRAS!E790</f>
        <v>0</v>
      </c>
      <c r="E777" s="374"/>
      <c r="F777" s="374"/>
      <c r="G777" s="375">
        <f t="shared" si="26"/>
        <v>0</v>
      </c>
      <c r="H777" s="375">
        <f t="shared" si="27"/>
        <v>0</v>
      </c>
      <c r="I777" s="376">
        <v>0</v>
      </c>
    </row>
    <row r="778" spans="1:9" x14ac:dyDescent="0.25">
      <c r="A778" s="373">
        <v>151</v>
      </c>
      <c r="B778" s="374">
        <f>PRRAS!C791</f>
        <v>777</v>
      </c>
      <c r="C778" s="374">
        <f>PRRAS!D791</f>
        <v>0</v>
      </c>
      <c r="D778" s="374">
        <f>PRRAS!E791</f>
        <v>0</v>
      </c>
      <c r="E778" s="374"/>
      <c r="F778" s="374"/>
      <c r="G778" s="375">
        <f t="shared" si="26"/>
        <v>0</v>
      </c>
      <c r="H778" s="375">
        <f t="shared" si="27"/>
        <v>0</v>
      </c>
      <c r="I778" s="376">
        <v>0</v>
      </c>
    </row>
    <row r="779" spans="1:9" x14ac:dyDescent="0.25">
      <c r="A779" s="373">
        <v>151</v>
      </c>
      <c r="B779" s="374">
        <f>PRRAS!C792</f>
        <v>778</v>
      </c>
      <c r="C779" s="374">
        <f>PRRAS!D792</f>
        <v>0</v>
      </c>
      <c r="D779" s="374">
        <f>PRRAS!E792</f>
        <v>0</v>
      </c>
      <c r="E779" s="374"/>
      <c r="F779" s="374"/>
      <c r="G779" s="375">
        <f t="shared" si="26"/>
        <v>0</v>
      </c>
      <c r="H779" s="375">
        <f t="shared" si="27"/>
        <v>0</v>
      </c>
      <c r="I779" s="376">
        <v>0</v>
      </c>
    </row>
    <row r="780" spans="1:9" x14ac:dyDescent="0.25">
      <c r="A780" s="373">
        <v>151</v>
      </c>
      <c r="B780" s="374">
        <f>PRRAS!C793</f>
        <v>779</v>
      </c>
      <c r="C780" s="374">
        <f>PRRAS!D793</f>
        <v>0</v>
      </c>
      <c r="D780" s="374">
        <f>PRRAS!E793</f>
        <v>0</v>
      </c>
      <c r="E780" s="374"/>
      <c r="F780" s="374"/>
      <c r="G780" s="375">
        <f t="shared" si="26"/>
        <v>0</v>
      </c>
      <c r="H780" s="375">
        <f t="shared" si="27"/>
        <v>0</v>
      </c>
      <c r="I780" s="376">
        <v>0</v>
      </c>
    </row>
    <row r="781" spans="1:9" x14ac:dyDescent="0.25">
      <c r="A781" s="373">
        <v>151</v>
      </c>
      <c r="B781" s="374">
        <f>PRRAS!C794</f>
        <v>780</v>
      </c>
      <c r="C781" s="374">
        <f>PRRAS!D794</f>
        <v>0</v>
      </c>
      <c r="D781" s="374">
        <f>PRRAS!E794</f>
        <v>0</v>
      </c>
      <c r="E781" s="374"/>
      <c r="F781" s="374"/>
      <c r="G781" s="375">
        <f t="shared" si="26"/>
        <v>0</v>
      </c>
      <c r="H781" s="375">
        <f t="shared" si="27"/>
        <v>0</v>
      </c>
      <c r="I781" s="376">
        <v>0</v>
      </c>
    </row>
    <row r="782" spans="1:9" x14ac:dyDescent="0.25">
      <c r="A782" s="373">
        <v>151</v>
      </c>
      <c r="B782" s="374">
        <f>PRRAS!C795</f>
        <v>781</v>
      </c>
      <c r="C782" s="374">
        <f>PRRAS!D795</f>
        <v>0</v>
      </c>
      <c r="D782" s="374">
        <f>PRRAS!E795</f>
        <v>0</v>
      </c>
      <c r="E782" s="374"/>
      <c r="F782" s="374"/>
      <c r="G782" s="375">
        <f t="shared" si="26"/>
        <v>0</v>
      </c>
      <c r="H782" s="375">
        <f t="shared" si="27"/>
        <v>0</v>
      </c>
      <c r="I782" s="376">
        <v>0</v>
      </c>
    </row>
    <row r="783" spans="1:9" x14ac:dyDescent="0.25">
      <c r="A783" s="373">
        <v>151</v>
      </c>
      <c r="B783" s="374">
        <f>PRRAS!C796</f>
        <v>782</v>
      </c>
      <c r="C783" s="374">
        <f>PRRAS!D796</f>
        <v>0</v>
      </c>
      <c r="D783" s="374">
        <f>PRRAS!E796</f>
        <v>0</v>
      </c>
      <c r="E783" s="374"/>
      <c r="F783" s="374"/>
      <c r="G783" s="375">
        <f t="shared" si="26"/>
        <v>0</v>
      </c>
      <c r="H783" s="375">
        <f t="shared" si="27"/>
        <v>0</v>
      </c>
      <c r="I783" s="376">
        <v>0</v>
      </c>
    </row>
    <row r="784" spans="1:9" x14ac:dyDescent="0.25">
      <c r="A784" s="373">
        <v>151</v>
      </c>
      <c r="B784" s="374">
        <f>PRRAS!C797</f>
        <v>783</v>
      </c>
      <c r="C784" s="374">
        <f>PRRAS!D797</f>
        <v>0</v>
      </c>
      <c r="D784" s="374">
        <f>PRRAS!E797</f>
        <v>0</v>
      </c>
      <c r="E784" s="374"/>
      <c r="F784" s="374"/>
      <c r="G784" s="375">
        <f t="shared" si="26"/>
        <v>0</v>
      </c>
      <c r="H784" s="375">
        <f t="shared" si="27"/>
        <v>0</v>
      </c>
      <c r="I784" s="376">
        <v>0</v>
      </c>
    </row>
    <row r="785" spans="1:9" x14ac:dyDescent="0.25">
      <c r="A785" s="373">
        <v>151</v>
      </c>
      <c r="B785" s="374">
        <f>PRRAS!C798</f>
        <v>784</v>
      </c>
      <c r="C785" s="374">
        <f>PRRAS!D798</f>
        <v>0</v>
      </c>
      <c r="D785" s="374">
        <f>PRRAS!E798</f>
        <v>0</v>
      </c>
      <c r="E785" s="374"/>
      <c r="F785" s="374"/>
      <c r="G785" s="375">
        <f t="shared" si="26"/>
        <v>0</v>
      </c>
      <c r="H785" s="375">
        <f t="shared" si="27"/>
        <v>0</v>
      </c>
      <c r="I785" s="376">
        <v>0</v>
      </c>
    </row>
    <row r="786" spans="1:9" x14ac:dyDescent="0.25">
      <c r="A786" s="373">
        <v>151</v>
      </c>
      <c r="B786" s="374">
        <f>PRRAS!C799</f>
        <v>785</v>
      </c>
      <c r="C786" s="374">
        <f>PRRAS!D799</f>
        <v>0</v>
      </c>
      <c r="D786" s="374">
        <f>PRRAS!E799</f>
        <v>0</v>
      </c>
      <c r="E786" s="374"/>
      <c r="F786" s="374"/>
      <c r="G786" s="375">
        <f t="shared" si="26"/>
        <v>0</v>
      </c>
      <c r="H786" s="375">
        <f t="shared" si="27"/>
        <v>0</v>
      </c>
      <c r="I786" s="376">
        <v>0</v>
      </c>
    </row>
    <row r="787" spans="1:9" x14ac:dyDescent="0.25">
      <c r="A787" s="373">
        <v>151</v>
      </c>
      <c r="B787" s="374">
        <f>PRRAS!C800</f>
        <v>786</v>
      </c>
      <c r="C787" s="374">
        <f>PRRAS!D800</f>
        <v>0</v>
      </c>
      <c r="D787" s="374">
        <f>PRRAS!E800</f>
        <v>0</v>
      </c>
      <c r="E787" s="374"/>
      <c r="F787" s="374"/>
      <c r="G787" s="375">
        <f t="shared" si="26"/>
        <v>0</v>
      </c>
      <c r="H787" s="375">
        <f t="shared" si="27"/>
        <v>0</v>
      </c>
      <c r="I787" s="376">
        <v>0</v>
      </c>
    </row>
    <row r="788" spans="1:9" x14ac:dyDescent="0.25">
      <c r="A788" s="373">
        <v>151</v>
      </c>
      <c r="B788" s="374">
        <f>PRRAS!C801</f>
        <v>787</v>
      </c>
      <c r="C788" s="374">
        <f>PRRAS!D801</f>
        <v>0</v>
      </c>
      <c r="D788" s="374">
        <f>PRRAS!E801</f>
        <v>0</v>
      </c>
      <c r="E788" s="374"/>
      <c r="F788" s="374"/>
      <c r="G788" s="375">
        <f t="shared" si="26"/>
        <v>0</v>
      </c>
      <c r="H788" s="375">
        <f t="shared" si="27"/>
        <v>0</v>
      </c>
      <c r="I788" s="376">
        <v>0</v>
      </c>
    </row>
    <row r="789" spans="1:9" x14ac:dyDescent="0.25">
      <c r="A789" s="373">
        <v>151</v>
      </c>
      <c r="B789" s="374">
        <f>PRRAS!C802</f>
        <v>788</v>
      </c>
      <c r="C789" s="374">
        <f>PRRAS!D802</f>
        <v>0</v>
      </c>
      <c r="D789" s="374">
        <f>PRRAS!E802</f>
        <v>0</v>
      </c>
      <c r="E789" s="374"/>
      <c r="F789" s="374"/>
      <c r="G789" s="375">
        <f t="shared" si="26"/>
        <v>0</v>
      </c>
      <c r="H789" s="375">
        <f t="shared" si="27"/>
        <v>0</v>
      </c>
      <c r="I789" s="376">
        <v>0</v>
      </c>
    </row>
    <row r="790" spans="1:9" x14ac:dyDescent="0.25">
      <c r="A790" s="373">
        <v>151</v>
      </c>
      <c r="B790" s="374">
        <f>PRRAS!C803</f>
        <v>789</v>
      </c>
      <c r="C790" s="374">
        <f>PRRAS!D803</f>
        <v>0</v>
      </c>
      <c r="D790" s="374">
        <f>PRRAS!E803</f>
        <v>0</v>
      </c>
      <c r="E790" s="374"/>
      <c r="F790" s="374"/>
      <c r="G790" s="375">
        <f t="shared" si="26"/>
        <v>0</v>
      </c>
      <c r="H790" s="375">
        <f t="shared" si="27"/>
        <v>0</v>
      </c>
      <c r="I790" s="376">
        <v>0</v>
      </c>
    </row>
    <row r="791" spans="1:9" x14ac:dyDescent="0.25">
      <c r="A791" s="373">
        <v>151</v>
      </c>
      <c r="B791" s="374">
        <f>PRRAS!C804</f>
        <v>790</v>
      </c>
      <c r="C791" s="374">
        <f>PRRAS!D804</f>
        <v>0</v>
      </c>
      <c r="D791" s="374">
        <f>PRRAS!E804</f>
        <v>0</v>
      </c>
      <c r="E791" s="374"/>
      <c r="F791" s="374"/>
      <c r="G791" s="375">
        <f t="shared" si="26"/>
        <v>0</v>
      </c>
      <c r="H791" s="375">
        <f t="shared" si="27"/>
        <v>0</v>
      </c>
      <c r="I791" s="376">
        <v>0</v>
      </c>
    </row>
    <row r="792" spans="1:9" x14ac:dyDescent="0.25">
      <c r="A792" s="373">
        <v>151</v>
      </c>
      <c r="B792" s="374">
        <f>PRRAS!C805</f>
        <v>791</v>
      </c>
      <c r="C792" s="374">
        <f>PRRAS!D805</f>
        <v>0</v>
      </c>
      <c r="D792" s="374">
        <f>PRRAS!E805</f>
        <v>0</v>
      </c>
      <c r="E792" s="374"/>
      <c r="F792" s="374"/>
      <c r="G792" s="375">
        <f t="shared" si="26"/>
        <v>0</v>
      </c>
      <c r="H792" s="375">
        <f t="shared" si="27"/>
        <v>0</v>
      </c>
      <c r="I792" s="376">
        <v>0</v>
      </c>
    </row>
    <row r="793" spans="1:9" x14ac:dyDescent="0.25">
      <c r="A793" s="373">
        <v>151</v>
      </c>
      <c r="B793" s="374">
        <f>PRRAS!C806</f>
        <v>792</v>
      </c>
      <c r="C793" s="374">
        <f>PRRAS!D806</f>
        <v>0</v>
      </c>
      <c r="D793" s="374">
        <f>PRRAS!E806</f>
        <v>0</v>
      </c>
      <c r="E793" s="374"/>
      <c r="F793" s="374"/>
      <c r="G793" s="375">
        <f t="shared" si="26"/>
        <v>0</v>
      </c>
      <c r="H793" s="375">
        <f t="shared" si="27"/>
        <v>0</v>
      </c>
      <c r="I793" s="376">
        <v>0</v>
      </c>
    </row>
    <row r="794" spans="1:9" x14ac:dyDescent="0.25">
      <c r="A794" s="373">
        <v>151</v>
      </c>
      <c r="B794" s="374">
        <f>PRRAS!C807</f>
        <v>793</v>
      </c>
      <c r="C794" s="374">
        <f>PRRAS!D807</f>
        <v>0</v>
      </c>
      <c r="D794" s="374">
        <f>PRRAS!E807</f>
        <v>0</v>
      </c>
      <c r="E794" s="374"/>
      <c r="F794" s="374"/>
      <c r="G794" s="375">
        <f t="shared" si="26"/>
        <v>0</v>
      </c>
      <c r="H794" s="375">
        <f t="shared" si="27"/>
        <v>0</v>
      </c>
      <c r="I794" s="376">
        <v>0</v>
      </c>
    </row>
    <row r="795" spans="1:9" x14ac:dyDescent="0.25">
      <c r="A795" s="373">
        <v>151</v>
      </c>
      <c r="B795" s="374">
        <f>PRRAS!C808</f>
        <v>794</v>
      </c>
      <c r="C795" s="374">
        <f>PRRAS!D808</f>
        <v>0</v>
      </c>
      <c r="D795" s="374">
        <f>PRRAS!E808</f>
        <v>0</v>
      </c>
      <c r="E795" s="374"/>
      <c r="F795" s="374"/>
      <c r="G795" s="375">
        <f t="shared" si="26"/>
        <v>0</v>
      </c>
      <c r="H795" s="375">
        <f t="shared" si="27"/>
        <v>0</v>
      </c>
      <c r="I795" s="376">
        <v>0</v>
      </c>
    </row>
    <row r="796" spans="1:9" x14ac:dyDescent="0.25">
      <c r="A796" s="373">
        <v>151</v>
      </c>
      <c r="B796" s="374">
        <f>PRRAS!C809</f>
        <v>795</v>
      </c>
      <c r="C796" s="374">
        <f>PRRAS!D809</f>
        <v>0</v>
      </c>
      <c r="D796" s="374">
        <f>PRRAS!E809</f>
        <v>0</v>
      </c>
      <c r="E796" s="374"/>
      <c r="F796" s="374"/>
      <c r="G796" s="375">
        <f t="shared" si="26"/>
        <v>0</v>
      </c>
      <c r="H796" s="375">
        <f t="shared" si="27"/>
        <v>0</v>
      </c>
      <c r="I796" s="376">
        <v>0</v>
      </c>
    </row>
    <row r="797" spans="1:9" x14ac:dyDescent="0.25">
      <c r="A797" s="373">
        <v>151</v>
      </c>
      <c r="B797" s="374">
        <f>PRRAS!C810</f>
        <v>796</v>
      </c>
      <c r="C797" s="374">
        <f>PRRAS!D810</f>
        <v>0</v>
      </c>
      <c r="D797" s="374">
        <f>PRRAS!E810</f>
        <v>0</v>
      </c>
      <c r="E797" s="374"/>
      <c r="F797" s="374"/>
      <c r="G797" s="375">
        <f t="shared" si="26"/>
        <v>0</v>
      </c>
      <c r="H797" s="375">
        <f t="shared" si="27"/>
        <v>0</v>
      </c>
      <c r="I797" s="376">
        <v>0</v>
      </c>
    </row>
    <row r="798" spans="1:9" x14ac:dyDescent="0.25">
      <c r="A798" s="373">
        <v>151</v>
      </c>
      <c r="B798" s="374">
        <f>PRRAS!C811</f>
        <v>797</v>
      </c>
      <c r="C798" s="374">
        <f>PRRAS!D811</f>
        <v>0</v>
      </c>
      <c r="D798" s="374">
        <f>PRRAS!E811</f>
        <v>0</v>
      </c>
      <c r="E798" s="374"/>
      <c r="F798" s="374"/>
      <c r="G798" s="375">
        <f t="shared" si="26"/>
        <v>0</v>
      </c>
      <c r="H798" s="375">
        <f t="shared" si="27"/>
        <v>0</v>
      </c>
      <c r="I798" s="376">
        <v>0</v>
      </c>
    </row>
    <row r="799" spans="1:9" x14ac:dyDescent="0.25">
      <c r="A799" s="373">
        <v>151</v>
      </c>
      <c r="B799" s="374">
        <f>PRRAS!C812</f>
        <v>798</v>
      </c>
      <c r="C799" s="374">
        <f>PRRAS!D812</f>
        <v>0</v>
      </c>
      <c r="D799" s="374">
        <f>PRRAS!E812</f>
        <v>0</v>
      </c>
      <c r="E799" s="374"/>
      <c r="F799" s="374"/>
      <c r="G799" s="375">
        <f t="shared" si="26"/>
        <v>0</v>
      </c>
      <c r="H799" s="375">
        <f t="shared" si="27"/>
        <v>0</v>
      </c>
      <c r="I799" s="376">
        <v>0</v>
      </c>
    </row>
    <row r="800" spans="1:9" x14ac:dyDescent="0.25">
      <c r="A800" s="373">
        <v>151</v>
      </c>
      <c r="B800" s="374">
        <f>PRRAS!C813</f>
        <v>799</v>
      </c>
      <c r="C800" s="374">
        <f>PRRAS!D813</f>
        <v>0</v>
      </c>
      <c r="D800" s="374">
        <f>PRRAS!E813</f>
        <v>0</v>
      </c>
      <c r="E800" s="374"/>
      <c r="F800" s="374"/>
      <c r="G800" s="375">
        <f t="shared" si="26"/>
        <v>0</v>
      </c>
      <c r="H800" s="375">
        <f t="shared" si="27"/>
        <v>0</v>
      </c>
      <c r="I800" s="376">
        <v>0</v>
      </c>
    </row>
    <row r="801" spans="1:9" x14ac:dyDescent="0.25">
      <c r="A801" s="373">
        <v>151</v>
      </c>
      <c r="B801" s="374">
        <f>PRRAS!C814</f>
        <v>800</v>
      </c>
      <c r="C801" s="374">
        <f>PRRAS!D814</f>
        <v>0</v>
      </c>
      <c r="D801" s="374">
        <f>PRRAS!E814</f>
        <v>0</v>
      </c>
      <c r="E801" s="374"/>
      <c r="F801" s="374"/>
      <c r="G801" s="375">
        <f t="shared" si="26"/>
        <v>0</v>
      </c>
      <c r="H801" s="375">
        <f t="shared" si="27"/>
        <v>0</v>
      </c>
      <c r="I801" s="376">
        <v>0</v>
      </c>
    </row>
    <row r="802" spans="1:9" x14ac:dyDescent="0.25">
      <c r="A802" s="373">
        <v>151</v>
      </c>
      <c r="B802" s="374">
        <f>PRRAS!C815</f>
        <v>801</v>
      </c>
      <c r="C802" s="374">
        <f>PRRAS!D815</f>
        <v>0</v>
      </c>
      <c r="D802" s="374">
        <f>PRRAS!E815</f>
        <v>0</v>
      </c>
      <c r="E802" s="374"/>
      <c r="F802" s="374"/>
      <c r="G802" s="375">
        <f t="shared" si="26"/>
        <v>0</v>
      </c>
      <c r="H802" s="375">
        <f t="shared" si="27"/>
        <v>0</v>
      </c>
      <c r="I802" s="376">
        <v>0</v>
      </c>
    </row>
    <row r="803" spans="1:9" x14ac:dyDescent="0.25">
      <c r="A803" s="373">
        <v>151</v>
      </c>
      <c r="B803" s="374">
        <f>PRRAS!C816</f>
        <v>802</v>
      </c>
      <c r="C803" s="374">
        <f>PRRAS!D816</f>
        <v>0</v>
      </c>
      <c r="D803" s="374">
        <f>PRRAS!E816</f>
        <v>0</v>
      </c>
      <c r="E803" s="374"/>
      <c r="F803" s="374"/>
      <c r="G803" s="375">
        <f t="shared" si="26"/>
        <v>0</v>
      </c>
      <c r="H803" s="375">
        <f t="shared" si="27"/>
        <v>0</v>
      </c>
      <c r="I803" s="376">
        <v>0</v>
      </c>
    </row>
    <row r="804" spans="1:9" x14ac:dyDescent="0.25">
      <c r="A804" s="373">
        <v>151</v>
      </c>
      <c r="B804" s="374">
        <f>PRRAS!C817</f>
        <v>803</v>
      </c>
      <c r="C804" s="374">
        <f>PRRAS!D817</f>
        <v>0</v>
      </c>
      <c r="D804" s="374">
        <f>PRRAS!E817</f>
        <v>0</v>
      </c>
      <c r="E804" s="374"/>
      <c r="F804" s="374"/>
      <c r="G804" s="375">
        <f t="shared" si="26"/>
        <v>0</v>
      </c>
      <c r="H804" s="375">
        <f t="shared" si="27"/>
        <v>0</v>
      </c>
      <c r="I804" s="376">
        <v>0</v>
      </c>
    </row>
    <row r="805" spans="1:9" x14ac:dyDescent="0.25">
      <c r="A805" s="373">
        <v>151</v>
      </c>
      <c r="B805" s="374">
        <f>PRRAS!C818</f>
        <v>804</v>
      </c>
      <c r="C805" s="374">
        <f>PRRAS!D818</f>
        <v>0</v>
      </c>
      <c r="D805" s="374">
        <f>PRRAS!E818</f>
        <v>0</v>
      </c>
      <c r="E805" s="374"/>
      <c r="F805" s="374"/>
      <c r="G805" s="375">
        <f t="shared" si="26"/>
        <v>0</v>
      </c>
      <c r="H805" s="375">
        <f t="shared" si="27"/>
        <v>0</v>
      </c>
      <c r="I805" s="376">
        <v>0</v>
      </c>
    </row>
    <row r="806" spans="1:9" x14ac:dyDescent="0.25">
      <c r="A806" s="373">
        <v>151</v>
      </c>
      <c r="B806" s="374">
        <f>PRRAS!C819</f>
        <v>805</v>
      </c>
      <c r="C806" s="374">
        <f>PRRAS!D819</f>
        <v>0</v>
      </c>
      <c r="D806" s="374">
        <f>PRRAS!E819</f>
        <v>0</v>
      </c>
      <c r="E806" s="374"/>
      <c r="F806" s="374"/>
      <c r="G806" s="375">
        <f t="shared" si="26"/>
        <v>0</v>
      </c>
      <c r="H806" s="375">
        <f t="shared" si="27"/>
        <v>0</v>
      </c>
      <c r="I806" s="376">
        <v>0</v>
      </c>
    </row>
    <row r="807" spans="1:9" x14ac:dyDescent="0.25">
      <c r="A807" s="373">
        <v>151</v>
      </c>
      <c r="B807" s="374">
        <f>PRRAS!C820</f>
        <v>806</v>
      </c>
      <c r="C807" s="374">
        <f>PRRAS!D820</f>
        <v>0</v>
      </c>
      <c r="D807" s="374">
        <f>PRRAS!E820</f>
        <v>0</v>
      </c>
      <c r="E807" s="374"/>
      <c r="F807" s="374"/>
      <c r="G807" s="375">
        <f t="shared" si="26"/>
        <v>0</v>
      </c>
      <c r="H807" s="375">
        <f t="shared" si="27"/>
        <v>0</v>
      </c>
      <c r="I807" s="376">
        <v>0</v>
      </c>
    </row>
    <row r="808" spans="1:9" x14ac:dyDescent="0.25">
      <c r="A808" s="373">
        <v>151</v>
      </c>
      <c r="B808" s="374">
        <f>PRRAS!C821</f>
        <v>807</v>
      </c>
      <c r="C808" s="374">
        <f>PRRAS!D821</f>
        <v>0</v>
      </c>
      <c r="D808" s="374">
        <f>PRRAS!E821</f>
        <v>0</v>
      </c>
      <c r="E808" s="374"/>
      <c r="F808" s="374"/>
      <c r="G808" s="375">
        <f t="shared" si="26"/>
        <v>0</v>
      </c>
      <c r="H808" s="375">
        <f t="shared" si="27"/>
        <v>0</v>
      </c>
      <c r="I808" s="376">
        <v>0</v>
      </c>
    </row>
    <row r="809" spans="1:9" x14ac:dyDescent="0.25">
      <c r="A809" s="373">
        <v>151</v>
      </c>
      <c r="B809" s="374">
        <f>PRRAS!C822</f>
        <v>808</v>
      </c>
      <c r="C809" s="374">
        <f>PRRAS!D822</f>
        <v>0</v>
      </c>
      <c r="D809" s="374">
        <f>PRRAS!E822</f>
        <v>0</v>
      </c>
      <c r="E809" s="374"/>
      <c r="F809" s="374"/>
      <c r="G809" s="375">
        <f t="shared" si="26"/>
        <v>0</v>
      </c>
      <c r="H809" s="375">
        <f t="shared" si="27"/>
        <v>0</v>
      </c>
      <c r="I809" s="376">
        <v>0</v>
      </c>
    </row>
    <row r="810" spans="1:9" x14ac:dyDescent="0.25">
      <c r="A810" s="373">
        <v>151</v>
      </c>
      <c r="B810" s="374">
        <f>PRRAS!C823</f>
        <v>809</v>
      </c>
      <c r="C810" s="374">
        <f>PRRAS!D823</f>
        <v>0</v>
      </c>
      <c r="D810" s="374">
        <f>PRRAS!E823</f>
        <v>0</v>
      </c>
      <c r="E810" s="374"/>
      <c r="F810" s="374"/>
      <c r="G810" s="375">
        <f t="shared" si="26"/>
        <v>0</v>
      </c>
      <c r="H810" s="375">
        <f t="shared" si="27"/>
        <v>0</v>
      </c>
      <c r="I810" s="376">
        <v>0</v>
      </c>
    </row>
    <row r="811" spans="1:9" x14ac:dyDescent="0.25">
      <c r="A811" s="373">
        <v>151</v>
      </c>
      <c r="B811" s="374">
        <f>PRRAS!C824</f>
        <v>810</v>
      </c>
      <c r="C811" s="374">
        <f>PRRAS!D824</f>
        <v>0</v>
      </c>
      <c r="D811" s="374">
        <f>PRRAS!E824</f>
        <v>0</v>
      </c>
      <c r="E811" s="374"/>
      <c r="F811" s="374"/>
      <c r="G811" s="375">
        <f t="shared" si="26"/>
        <v>0</v>
      </c>
      <c r="H811" s="375">
        <f t="shared" si="27"/>
        <v>0</v>
      </c>
      <c r="I811" s="376">
        <v>0</v>
      </c>
    </row>
    <row r="812" spans="1:9" x14ac:dyDescent="0.25">
      <c r="A812" s="373">
        <v>151</v>
      </c>
      <c r="B812" s="374">
        <f>PRRAS!C825</f>
        <v>811</v>
      </c>
      <c r="C812" s="374">
        <f>PRRAS!D825</f>
        <v>0</v>
      </c>
      <c r="D812" s="374">
        <f>PRRAS!E825</f>
        <v>0</v>
      </c>
      <c r="E812" s="374"/>
      <c r="F812" s="374"/>
      <c r="G812" s="375">
        <f t="shared" si="26"/>
        <v>0</v>
      </c>
      <c r="H812" s="375">
        <f t="shared" si="27"/>
        <v>0</v>
      </c>
      <c r="I812" s="376">
        <v>0</v>
      </c>
    </row>
    <row r="813" spans="1:9" x14ac:dyDescent="0.25">
      <c r="A813" s="373">
        <v>151</v>
      </c>
      <c r="B813" s="374">
        <f>PRRAS!C826</f>
        <v>812</v>
      </c>
      <c r="C813" s="374">
        <f>PRRAS!D826</f>
        <v>0</v>
      </c>
      <c r="D813" s="374">
        <f>PRRAS!E826</f>
        <v>0</v>
      </c>
      <c r="E813" s="374"/>
      <c r="F813" s="374"/>
      <c r="G813" s="375">
        <f t="shared" si="26"/>
        <v>0</v>
      </c>
      <c r="H813" s="375">
        <f t="shared" si="27"/>
        <v>0</v>
      </c>
      <c r="I813" s="376">
        <v>0</v>
      </c>
    </row>
    <row r="814" spans="1:9" x14ac:dyDescent="0.25">
      <c r="A814" s="373">
        <v>151</v>
      </c>
      <c r="B814" s="374">
        <f>PRRAS!C827</f>
        <v>813</v>
      </c>
      <c r="C814" s="374">
        <f>PRRAS!D827</f>
        <v>0</v>
      </c>
      <c r="D814" s="374">
        <f>PRRAS!E827</f>
        <v>0</v>
      </c>
      <c r="E814" s="374"/>
      <c r="F814" s="374"/>
      <c r="G814" s="375">
        <f t="shared" si="26"/>
        <v>0</v>
      </c>
      <c r="H814" s="375">
        <f t="shared" si="27"/>
        <v>0</v>
      </c>
      <c r="I814" s="376">
        <v>0</v>
      </c>
    </row>
    <row r="815" spans="1:9" x14ac:dyDescent="0.25">
      <c r="A815" s="373">
        <v>151</v>
      </c>
      <c r="B815" s="374">
        <f>PRRAS!C828</f>
        <v>814</v>
      </c>
      <c r="C815" s="374">
        <f>PRRAS!D828</f>
        <v>0</v>
      </c>
      <c r="D815" s="374">
        <f>PRRAS!E828</f>
        <v>0</v>
      </c>
      <c r="E815" s="374"/>
      <c r="F815" s="374"/>
      <c r="G815" s="375">
        <f t="shared" si="26"/>
        <v>0</v>
      </c>
      <c r="H815" s="375">
        <f t="shared" si="27"/>
        <v>0</v>
      </c>
      <c r="I815" s="376">
        <v>0</v>
      </c>
    </row>
    <row r="816" spans="1:9" x14ac:dyDescent="0.25">
      <c r="A816" s="373">
        <v>151</v>
      </c>
      <c r="B816" s="374">
        <f>PRRAS!C829</f>
        <v>815</v>
      </c>
      <c r="C816" s="374">
        <f>PRRAS!D829</f>
        <v>0</v>
      </c>
      <c r="D816" s="374">
        <f>PRRAS!E829</f>
        <v>0</v>
      </c>
      <c r="E816" s="374"/>
      <c r="F816" s="374"/>
      <c r="G816" s="375">
        <f t="shared" si="26"/>
        <v>0</v>
      </c>
      <c r="H816" s="375">
        <f t="shared" si="27"/>
        <v>0</v>
      </c>
      <c r="I816" s="376">
        <v>0</v>
      </c>
    </row>
    <row r="817" spans="1:9" x14ac:dyDescent="0.25">
      <c r="A817" s="373">
        <v>151</v>
      </c>
      <c r="B817" s="374">
        <f>PRRAS!C830</f>
        <v>816</v>
      </c>
      <c r="C817" s="374">
        <f>PRRAS!D830</f>
        <v>0</v>
      </c>
      <c r="D817" s="374">
        <f>PRRAS!E830</f>
        <v>0</v>
      </c>
      <c r="E817" s="374"/>
      <c r="F817" s="374"/>
      <c r="G817" s="375">
        <f t="shared" si="26"/>
        <v>0</v>
      </c>
      <c r="H817" s="375">
        <f t="shared" si="27"/>
        <v>0</v>
      </c>
      <c r="I817" s="376">
        <v>0</v>
      </c>
    </row>
    <row r="818" spans="1:9" x14ac:dyDescent="0.25">
      <c r="A818" s="373">
        <v>151</v>
      </c>
      <c r="B818" s="374">
        <f>PRRAS!C831</f>
        <v>817</v>
      </c>
      <c r="C818" s="374">
        <f>PRRAS!D831</f>
        <v>0</v>
      </c>
      <c r="D818" s="374">
        <f>PRRAS!E831</f>
        <v>0</v>
      </c>
      <c r="E818" s="374"/>
      <c r="F818" s="374"/>
      <c r="G818" s="375">
        <f t="shared" si="26"/>
        <v>0</v>
      </c>
      <c r="H818" s="375">
        <f t="shared" si="27"/>
        <v>0</v>
      </c>
      <c r="I818" s="376">
        <v>0</v>
      </c>
    </row>
    <row r="819" spans="1:9" x14ac:dyDescent="0.25">
      <c r="A819" s="373">
        <v>151</v>
      </c>
      <c r="B819" s="374">
        <f>PRRAS!C832</f>
        <v>818</v>
      </c>
      <c r="C819" s="374">
        <f>PRRAS!D832</f>
        <v>0</v>
      </c>
      <c r="D819" s="374">
        <f>PRRAS!E832</f>
        <v>0</v>
      </c>
      <c r="E819" s="374"/>
      <c r="F819" s="374"/>
      <c r="G819" s="375">
        <f t="shared" si="26"/>
        <v>0</v>
      </c>
      <c r="H819" s="375">
        <f t="shared" si="27"/>
        <v>0</v>
      </c>
      <c r="I819" s="376">
        <v>0</v>
      </c>
    </row>
    <row r="820" spans="1:9" x14ac:dyDescent="0.25">
      <c r="A820" s="373">
        <v>151</v>
      </c>
      <c r="B820" s="374">
        <f>PRRAS!C833</f>
        <v>819</v>
      </c>
      <c r="C820" s="374">
        <f>PRRAS!D833</f>
        <v>0</v>
      </c>
      <c r="D820" s="374">
        <f>PRRAS!E833</f>
        <v>0</v>
      </c>
      <c r="E820" s="374"/>
      <c r="F820" s="374"/>
      <c r="G820" s="375">
        <f t="shared" si="26"/>
        <v>0</v>
      </c>
      <c r="H820" s="375">
        <f t="shared" si="27"/>
        <v>0</v>
      </c>
      <c r="I820" s="376">
        <v>0</v>
      </c>
    </row>
    <row r="821" spans="1:9" x14ac:dyDescent="0.25">
      <c r="A821" s="373">
        <v>151</v>
      </c>
      <c r="B821" s="374">
        <f>PRRAS!C834</f>
        <v>820</v>
      </c>
      <c r="C821" s="374">
        <f>PRRAS!D834</f>
        <v>0</v>
      </c>
      <c r="D821" s="374">
        <f>PRRAS!E834</f>
        <v>0</v>
      </c>
      <c r="E821" s="374"/>
      <c r="F821" s="374"/>
      <c r="G821" s="375">
        <f t="shared" si="26"/>
        <v>0</v>
      </c>
      <c r="H821" s="375">
        <f t="shared" si="27"/>
        <v>0</v>
      </c>
      <c r="I821" s="376">
        <v>0</v>
      </c>
    </row>
    <row r="822" spans="1:9" x14ac:dyDescent="0.25">
      <c r="A822" s="373">
        <v>151</v>
      </c>
      <c r="B822" s="374">
        <f>PRRAS!C835</f>
        <v>821</v>
      </c>
      <c r="C822" s="374">
        <f>PRRAS!D835</f>
        <v>0</v>
      </c>
      <c r="D822" s="374">
        <f>PRRAS!E835</f>
        <v>0</v>
      </c>
      <c r="E822" s="374"/>
      <c r="F822" s="374"/>
      <c r="G822" s="375">
        <f t="shared" si="26"/>
        <v>0</v>
      </c>
      <c r="H822" s="375">
        <f t="shared" si="27"/>
        <v>0</v>
      </c>
      <c r="I822" s="376">
        <v>0</v>
      </c>
    </row>
    <row r="823" spans="1:9" x14ac:dyDescent="0.25">
      <c r="A823" s="373">
        <v>151</v>
      </c>
      <c r="B823" s="374">
        <f>PRRAS!C836</f>
        <v>822</v>
      </c>
      <c r="C823" s="374">
        <f>PRRAS!D836</f>
        <v>0</v>
      </c>
      <c r="D823" s="374">
        <f>PRRAS!E836</f>
        <v>0</v>
      </c>
      <c r="E823" s="374"/>
      <c r="F823" s="374"/>
      <c r="G823" s="375">
        <f t="shared" si="26"/>
        <v>0</v>
      </c>
      <c r="H823" s="375">
        <f t="shared" si="27"/>
        <v>0</v>
      </c>
      <c r="I823" s="376">
        <v>0</v>
      </c>
    </row>
    <row r="824" spans="1:9" x14ac:dyDescent="0.25">
      <c r="A824" s="373">
        <v>151</v>
      </c>
      <c r="B824" s="374">
        <f>PRRAS!C837</f>
        <v>823</v>
      </c>
      <c r="C824" s="374">
        <f>PRRAS!D837</f>
        <v>0</v>
      </c>
      <c r="D824" s="374">
        <f>PRRAS!E837</f>
        <v>0</v>
      </c>
      <c r="E824" s="374"/>
      <c r="F824" s="374"/>
      <c r="G824" s="375">
        <f t="shared" si="26"/>
        <v>0</v>
      </c>
      <c r="H824" s="375">
        <f t="shared" si="27"/>
        <v>0</v>
      </c>
      <c r="I824" s="376">
        <v>0</v>
      </c>
    </row>
    <row r="825" spans="1:9" x14ac:dyDescent="0.25">
      <c r="A825" s="373">
        <v>151</v>
      </c>
      <c r="B825" s="374">
        <f>PRRAS!C838</f>
        <v>824</v>
      </c>
      <c r="C825" s="374">
        <f>PRRAS!D838</f>
        <v>0</v>
      </c>
      <c r="D825" s="374">
        <f>PRRAS!E838</f>
        <v>0</v>
      </c>
      <c r="E825" s="374"/>
      <c r="F825" s="374"/>
      <c r="G825" s="375">
        <f t="shared" si="26"/>
        <v>0</v>
      </c>
      <c r="H825" s="375">
        <f t="shared" si="27"/>
        <v>0</v>
      </c>
      <c r="I825" s="376">
        <v>0</v>
      </c>
    </row>
    <row r="826" spans="1:9" x14ac:dyDescent="0.25">
      <c r="A826" s="373">
        <v>151</v>
      </c>
      <c r="B826" s="374">
        <f>PRRAS!C839</f>
        <v>825</v>
      </c>
      <c r="C826" s="374">
        <f>PRRAS!D839</f>
        <v>0</v>
      </c>
      <c r="D826" s="374">
        <f>PRRAS!E839</f>
        <v>0</v>
      </c>
      <c r="E826" s="374"/>
      <c r="F826" s="374"/>
      <c r="G826" s="375">
        <f t="shared" si="26"/>
        <v>0</v>
      </c>
      <c r="H826" s="375">
        <f t="shared" si="27"/>
        <v>0</v>
      </c>
      <c r="I826" s="376">
        <v>0</v>
      </c>
    </row>
    <row r="827" spans="1:9" x14ac:dyDescent="0.25">
      <c r="A827" s="373">
        <v>151</v>
      </c>
      <c r="B827" s="374">
        <f>PRRAS!C840</f>
        <v>826</v>
      </c>
      <c r="C827" s="374">
        <f>PRRAS!D840</f>
        <v>0</v>
      </c>
      <c r="D827" s="374">
        <f>PRRAS!E840</f>
        <v>0</v>
      </c>
      <c r="E827" s="374"/>
      <c r="F827" s="374"/>
      <c r="G827" s="375">
        <f t="shared" si="26"/>
        <v>0</v>
      </c>
      <c r="H827" s="375">
        <f t="shared" si="27"/>
        <v>0</v>
      </c>
      <c r="I827" s="376">
        <v>0</v>
      </c>
    </row>
    <row r="828" spans="1:9" x14ac:dyDescent="0.25">
      <c r="A828" s="373">
        <v>151</v>
      </c>
      <c r="B828" s="374">
        <f>PRRAS!C841</f>
        <v>827</v>
      </c>
      <c r="C828" s="374">
        <f>PRRAS!D841</f>
        <v>0</v>
      </c>
      <c r="D828" s="374">
        <f>PRRAS!E841</f>
        <v>0</v>
      </c>
      <c r="E828" s="374"/>
      <c r="F828" s="374"/>
      <c r="G828" s="375">
        <f t="shared" si="26"/>
        <v>0</v>
      </c>
      <c r="H828" s="375">
        <f t="shared" si="27"/>
        <v>0</v>
      </c>
      <c r="I828" s="376">
        <v>0</v>
      </c>
    </row>
    <row r="829" spans="1:9" x14ac:dyDescent="0.25">
      <c r="A829" s="373">
        <v>151</v>
      </c>
      <c r="B829" s="374">
        <f>PRRAS!C842</f>
        <v>828</v>
      </c>
      <c r="C829" s="374">
        <f>PRRAS!D842</f>
        <v>0</v>
      </c>
      <c r="D829" s="374">
        <f>PRRAS!E842</f>
        <v>0</v>
      </c>
      <c r="E829" s="374"/>
      <c r="F829" s="374"/>
      <c r="G829" s="375">
        <f t="shared" si="26"/>
        <v>0</v>
      </c>
      <c r="H829" s="375">
        <f t="shared" si="27"/>
        <v>0</v>
      </c>
      <c r="I829" s="376">
        <v>0</v>
      </c>
    </row>
    <row r="830" spans="1:9" x14ac:dyDescent="0.25">
      <c r="A830" s="373">
        <v>151</v>
      </c>
      <c r="B830" s="374">
        <f>PRRAS!C843</f>
        <v>829</v>
      </c>
      <c r="C830" s="374">
        <f>PRRAS!D843</f>
        <v>0</v>
      </c>
      <c r="D830" s="374">
        <f>PRRAS!E843</f>
        <v>0</v>
      </c>
      <c r="E830" s="374"/>
      <c r="F830" s="374"/>
      <c r="G830" s="375">
        <f t="shared" si="26"/>
        <v>0</v>
      </c>
      <c r="H830" s="375">
        <f t="shared" si="27"/>
        <v>0</v>
      </c>
      <c r="I830" s="376">
        <v>0</v>
      </c>
    </row>
    <row r="831" spans="1:9" x14ac:dyDescent="0.25">
      <c r="A831" s="373">
        <v>151</v>
      </c>
      <c r="B831" s="374">
        <f>PRRAS!C844</f>
        <v>830</v>
      </c>
      <c r="C831" s="374">
        <f>PRRAS!D844</f>
        <v>0</v>
      </c>
      <c r="D831" s="374">
        <f>PRRAS!E844</f>
        <v>0</v>
      </c>
      <c r="E831" s="374"/>
      <c r="F831" s="374"/>
      <c r="G831" s="375">
        <f>(B831/1000)*(C831*1+D831*2)</f>
        <v>0</v>
      </c>
      <c r="H831" s="375">
        <f>ABS(C831-ROUND(C831,0))+ABS(D831-ROUND(D831,0))</f>
        <v>0</v>
      </c>
      <c r="I831" s="376">
        <v>0</v>
      </c>
    </row>
    <row r="832" spans="1:9" x14ac:dyDescent="0.25">
      <c r="A832" s="373">
        <v>151</v>
      </c>
      <c r="B832" s="374">
        <f>PRRAS!C845</f>
        <v>831</v>
      </c>
      <c r="C832" s="374">
        <f>PRRAS!D845</f>
        <v>0</v>
      </c>
      <c r="D832" s="374">
        <f>PRRAS!E845</f>
        <v>0</v>
      </c>
      <c r="E832" s="374"/>
      <c r="F832" s="374"/>
      <c r="G832" s="375">
        <f>(B832/1000)*(C832*1+D832*2)</f>
        <v>0</v>
      </c>
      <c r="H832" s="375">
        <f>ABS(C832-ROUND(C832,0))+ABS(D832-ROUND(D832,0))</f>
        <v>0</v>
      </c>
      <c r="I832" s="376">
        <v>0</v>
      </c>
    </row>
    <row r="833" spans="1:9" x14ac:dyDescent="0.25">
      <c r="A833" s="373">
        <v>151</v>
      </c>
      <c r="B833" s="374">
        <f>PRRAS!C846</f>
        <v>832</v>
      </c>
      <c r="C833" s="374">
        <f>PRRAS!D846</f>
        <v>0</v>
      </c>
      <c r="D833" s="374">
        <f>PRRAS!E846</f>
        <v>0</v>
      </c>
      <c r="E833" s="374"/>
      <c r="F833" s="374"/>
      <c r="G833" s="375">
        <f>(B833/1000)*(C833*1+D833*2)</f>
        <v>0</v>
      </c>
      <c r="H833" s="375">
        <f>ABS(C833-ROUND(C833,0))+ABS(D833-ROUND(D833,0))</f>
        <v>0</v>
      </c>
      <c r="I833" s="376">
        <v>0</v>
      </c>
    </row>
    <row r="834" spans="1:9" x14ac:dyDescent="0.25">
      <c r="A834" s="373">
        <v>151</v>
      </c>
      <c r="B834" s="374">
        <f>PRRAS!C847</f>
        <v>833</v>
      </c>
      <c r="C834" s="374">
        <f>PRRAS!D847</f>
        <v>0</v>
      </c>
      <c r="D834" s="374">
        <f>PRRAS!E847</f>
        <v>0</v>
      </c>
      <c r="E834" s="374"/>
      <c r="F834" s="374"/>
      <c r="G834" s="375">
        <f>(B834/1000)*(C834*1+D834*2)</f>
        <v>0</v>
      </c>
      <c r="H834" s="375">
        <f>ABS(C834-ROUND(C834,0))+ABS(D834-ROUND(D834,0))</f>
        <v>0</v>
      </c>
      <c r="I834" s="376">
        <v>0</v>
      </c>
    </row>
    <row r="835" spans="1:9" x14ac:dyDescent="0.25">
      <c r="A835" s="373">
        <v>151</v>
      </c>
      <c r="B835" s="374">
        <f>PRRAS!C848</f>
        <v>834</v>
      </c>
      <c r="C835" s="374">
        <f>PRRAS!D848</f>
        <v>0</v>
      </c>
      <c r="D835" s="374">
        <f>PRRAS!E848</f>
        <v>0</v>
      </c>
      <c r="E835" s="374"/>
      <c r="F835" s="374"/>
      <c r="G835" s="375">
        <f t="shared" ref="G835:G895" si="28">(B835/1000)*(C835*1+D835*2)</f>
        <v>0</v>
      </c>
      <c r="H835" s="375">
        <f t="shared" ref="H835:H895" si="29">ABS(C835-ROUND(C835,0))+ABS(D835-ROUND(D835,0))</f>
        <v>0</v>
      </c>
      <c r="I835" s="376">
        <v>0</v>
      </c>
    </row>
    <row r="836" spans="1:9" x14ac:dyDescent="0.25">
      <c r="A836" s="373">
        <v>151</v>
      </c>
      <c r="B836" s="374">
        <f>PRRAS!C849</f>
        <v>835</v>
      </c>
      <c r="C836" s="374">
        <f>PRRAS!D849</f>
        <v>0</v>
      </c>
      <c r="D836" s="374">
        <f>PRRAS!E849</f>
        <v>0</v>
      </c>
      <c r="E836" s="374"/>
      <c r="F836" s="374"/>
      <c r="G836" s="375">
        <f t="shared" si="28"/>
        <v>0</v>
      </c>
      <c r="H836" s="375">
        <f t="shared" si="29"/>
        <v>0</v>
      </c>
      <c r="I836" s="376">
        <v>0</v>
      </c>
    </row>
    <row r="837" spans="1:9" x14ac:dyDescent="0.25">
      <c r="A837" s="373">
        <v>151</v>
      </c>
      <c r="B837" s="374">
        <f>PRRAS!C850</f>
        <v>836</v>
      </c>
      <c r="C837" s="374">
        <f>PRRAS!D850</f>
        <v>0</v>
      </c>
      <c r="D837" s="374">
        <f>PRRAS!E850</f>
        <v>0</v>
      </c>
      <c r="E837" s="374"/>
      <c r="F837" s="374"/>
      <c r="G837" s="375">
        <f t="shared" si="28"/>
        <v>0</v>
      </c>
      <c r="H837" s="375">
        <f t="shared" si="29"/>
        <v>0</v>
      </c>
      <c r="I837" s="376">
        <v>0</v>
      </c>
    </row>
    <row r="838" spans="1:9" x14ac:dyDescent="0.25">
      <c r="A838" s="373">
        <v>151</v>
      </c>
      <c r="B838" s="374">
        <f>PRRAS!C851</f>
        <v>837</v>
      </c>
      <c r="C838" s="374">
        <f>PRRAS!D851</f>
        <v>0</v>
      </c>
      <c r="D838" s="374">
        <f>PRRAS!E851</f>
        <v>0</v>
      </c>
      <c r="E838" s="374"/>
      <c r="F838" s="374"/>
      <c r="G838" s="375">
        <f t="shared" si="28"/>
        <v>0</v>
      </c>
      <c r="H838" s="375">
        <f t="shared" si="29"/>
        <v>0</v>
      </c>
      <c r="I838" s="376">
        <v>0</v>
      </c>
    </row>
    <row r="839" spans="1:9" x14ac:dyDescent="0.25">
      <c r="A839" s="373">
        <v>151</v>
      </c>
      <c r="B839" s="374">
        <f>PRRAS!C852</f>
        <v>838</v>
      </c>
      <c r="C839" s="374">
        <f>PRRAS!D852</f>
        <v>0</v>
      </c>
      <c r="D839" s="374">
        <f>PRRAS!E852</f>
        <v>0</v>
      </c>
      <c r="E839" s="374"/>
      <c r="F839" s="374"/>
      <c r="G839" s="375">
        <f t="shared" si="28"/>
        <v>0</v>
      </c>
      <c r="H839" s="375">
        <f t="shared" si="29"/>
        <v>0</v>
      </c>
      <c r="I839" s="376">
        <v>0</v>
      </c>
    </row>
    <row r="840" spans="1:9" x14ac:dyDescent="0.25">
      <c r="A840" s="373">
        <v>151</v>
      </c>
      <c r="B840" s="374">
        <f>PRRAS!C853</f>
        <v>839</v>
      </c>
      <c r="C840" s="374">
        <f>PRRAS!D853</f>
        <v>0</v>
      </c>
      <c r="D840" s="374">
        <f>PRRAS!E853</f>
        <v>0</v>
      </c>
      <c r="E840" s="374"/>
      <c r="F840" s="374"/>
      <c r="G840" s="375">
        <f t="shared" si="28"/>
        <v>0</v>
      </c>
      <c r="H840" s="375">
        <f t="shared" si="29"/>
        <v>0</v>
      </c>
      <c r="I840" s="376">
        <v>0</v>
      </c>
    </row>
    <row r="841" spans="1:9" x14ac:dyDescent="0.25">
      <c r="A841" s="373">
        <v>151</v>
      </c>
      <c r="B841" s="374">
        <f>PRRAS!C854</f>
        <v>840</v>
      </c>
      <c r="C841" s="374">
        <f>PRRAS!D854</f>
        <v>0</v>
      </c>
      <c r="D841" s="374">
        <f>PRRAS!E854</f>
        <v>0</v>
      </c>
      <c r="E841" s="374"/>
      <c r="F841" s="374"/>
      <c r="G841" s="375">
        <f t="shared" si="28"/>
        <v>0</v>
      </c>
      <c r="H841" s="375">
        <f t="shared" si="29"/>
        <v>0</v>
      </c>
      <c r="I841" s="376">
        <v>0</v>
      </c>
    </row>
    <row r="842" spans="1:9" x14ac:dyDescent="0.25">
      <c r="A842" s="373">
        <v>151</v>
      </c>
      <c r="B842" s="374">
        <f>PRRAS!C855</f>
        <v>841</v>
      </c>
      <c r="C842" s="374">
        <f>PRRAS!D855</f>
        <v>0</v>
      </c>
      <c r="D842" s="374">
        <f>PRRAS!E855</f>
        <v>0</v>
      </c>
      <c r="E842" s="374"/>
      <c r="F842" s="374"/>
      <c r="G842" s="375">
        <f t="shared" si="28"/>
        <v>0</v>
      </c>
      <c r="H842" s="375">
        <f t="shared" si="29"/>
        <v>0</v>
      </c>
      <c r="I842" s="376">
        <v>0</v>
      </c>
    </row>
    <row r="843" spans="1:9" x14ac:dyDescent="0.25">
      <c r="A843" s="373">
        <v>151</v>
      </c>
      <c r="B843" s="374">
        <f>PRRAS!C856</f>
        <v>842</v>
      </c>
      <c r="C843" s="374">
        <f>PRRAS!D856</f>
        <v>0</v>
      </c>
      <c r="D843" s="374">
        <f>PRRAS!E856</f>
        <v>0</v>
      </c>
      <c r="E843" s="374"/>
      <c r="F843" s="374"/>
      <c r="G843" s="375">
        <f t="shared" si="28"/>
        <v>0</v>
      </c>
      <c r="H843" s="375">
        <f t="shared" si="29"/>
        <v>0</v>
      </c>
      <c r="I843" s="376">
        <v>0</v>
      </c>
    </row>
    <row r="844" spans="1:9" x14ac:dyDescent="0.25">
      <c r="A844" s="373">
        <v>151</v>
      </c>
      <c r="B844" s="374">
        <f>PRRAS!C857</f>
        <v>843</v>
      </c>
      <c r="C844" s="374">
        <f>PRRAS!D857</f>
        <v>0</v>
      </c>
      <c r="D844" s="374">
        <f>PRRAS!E857</f>
        <v>0</v>
      </c>
      <c r="E844" s="374"/>
      <c r="F844" s="374"/>
      <c r="G844" s="375">
        <f t="shared" si="28"/>
        <v>0</v>
      </c>
      <c r="H844" s="375">
        <f t="shared" si="29"/>
        <v>0</v>
      </c>
      <c r="I844" s="376">
        <v>0</v>
      </c>
    </row>
    <row r="845" spans="1:9" x14ac:dyDescent="0.25">
      <c r="A845" s="373">
        <v>151</v>
      </c>
      <c r="B845" s="374">
        <f>PRRAS!C858</f>
        <v>844</v>
      </c>
      <c r="C845" s="374">
        <f>PRRAS!D858</f>
        <v>0</v>
      </c>
      <c r="D845" s="374">
        <f>PRRAS!E858</f>
        <v>0</v>
      </c>
      <c r="E845" s="374"/>
      <c r="F845" s="374"/>
      <c r="G845" s="375">
        <f t="shared" si="28"/>
        <v>0</v>
      </c>
      <c r="H845" s="375">
        <f t="shared" si="29"/>
        <v>0</v>
      </c>
      <c r="I845" s="376">
        <v>0</v>
      </c>
    </row>
    <row r="846" spans="1:9" x14ac:dyDescent="0.25">
      <c r="A846" s="373">
        <v>151</v>
      </c>
      <c r="B846" s="374">
        <f>PRRAS!C859</f>
        <v>845</v>
      </c>
      <c r="C846" s="374">
        <f>PRRAS!D859</f>
        <v>0</v>
      </c>
      <c r="D846" s="374">
        <f>PRRAS!E859</f>
        <v>0</v>
      </c>
      <c r="E846" s="374"/>
      <c r="F846" s="374"/>
      <c r="G846" s="375">
        <f t="shared" si="28"/>
        <v>0</v>
      </c>
      <c r="H846" s="375">
        <f t="shared" si="29"/>
        <v>0</v>
      </c>
      <c r="I846" s="376">
        <v>0</v>
      </c>
    </row>
    <row r="847" spans="1:9" x14ac:dyDescent="0.25">
      <c r="A847" s="373">
        <v>151</v>
      </c>
      <c r="B847" s="374">
        <f>PRRAS!C860</f>
        <v>846</v>
      </c>
      <c r="C847" s="374">
        <f>PRRAS!D860</f>
        <v>0</v>
      </c>
      <c r="D847" s="374">
        <f>PRRAS!E860</f>
        <v>0</v>
      </c>
      <c r="E847" s="374"/>
      <c r="F847" s="374"/>
      <c r="G847" s="375">
        <f t="shared" si="28"/>
        <v>0</v>
      </c>
      <c r="H847" s="375">
        <f t="shared" si="29"/>
        <v>0</v>
      </c>
      <c r="I847" s="376">
        <v>0</v>
      </c>
    </row>
    <row r="848" spans="1:9" x14ac:dyDescent="0.25">
      <c r="A848" s="373">
        <v>151</v>
      </c>
      <c r="B848" s="374">
        <f>PRRAS!C861</f>
        <v>847</v>
      </c>
      <c r="C848" s="374">
        <f>PRRAS!D861</f>
        <v>0</v>
      </c>
      <c r="D848" s="374">
        <f>PRRAS!E861</f>
        <v>0</v>
      </c>
      <c r="E848" s="374"/>
      <c r="F848" s="374"/>
      <c r="G848" s="375">
        <f t="shared" si="28"/>
        <v>0</v>
      </c>
      <c r="H848" s="375">
        <f t="shared" si="29"/>
        <v>0</v>
      </c>
      <c r="I848" s="376">
        <v>0</v>
      </c>
    </row>
    <row r="849" spans="1:9" x14ac:dyDescent="0.25">
      <c r="A849" s="373">
        <v>151</v>
      </c>
      <c r="B849" s="374">
        <f>PRRAS!C862</f>
        <v>848</v>
      </c>
      <c r="C849" s="374">
        <f>PRRAS!D862</f>
        <v>0</v>
      </c>
      <c r="D849" s="374">
        <f>PRRAS!E862</f>
        <v>0</v>
      </c>
      <c r="E849" s="374"/>
      <c r="F849" s="374"/>
      <c r="G849" s="375">
        <f t="shared" si="28"/>
        <v>0</v>
      </c>
      <c r="H849" s="375">
        <f t="shared" si="29"/>
        <v>0</v>
      </c>
      <c r="I849" s="376">
        <v>0</v>
      </c>
    </row>
    <row r="850" spans="1:9" x14ac:dyDescent="0.25">
      <c r="A850" s="373">
        <v>151</v>
      </c>
      <c r="B850" s="374">
        <f>PRRAS!C863</f>
        <v>849</v>
      </c>
      <c r="C850" s="374">
        <f>PRRAS!D863</f>
        <v>0</v>
      </c>
      <c r="D850" s="374">
        <f>PRRAS!E863</f>
        <v>0</v>
      </c>
      <c r="E850" s="374"/>
      <c r="F850" s="374"/>
      <c r="G850" s="375">
        <f t="shared" si="28"/>
        <v>0</v>
      </c>
      <c r="H850" s="375">
        <f t="shared" si="29"/>
        <v>0</v>
      </c>
      <c r="I850" s="376">
        <v>0</v>
      </c>
    </row>
    <row r="851" spans="1:9" x14ac:dyDescent="0.25">
      <c r="A851" s="373">
        <v>151</v>
      </c>
      <c r="B851" s="374">
        <f>PRRAS!C864</f>
        <v>850</v>
      </c>
      <c r="C851" s="374">
        <f>PRRAS!D864</f>
        <v>0</v>
      </c>
      <c r="D851" s="374">
        <f>PRRAS!E864</f>
        <v>0</v>
      </c>
      <c r="E851" s="374"/>
      <c r="F851" s="374"/>
      <c r="G851" s="375">
        <f t="shared" si="28"/>
        <v>0</v>
      </c>
      <c r="H851" s="375">
        <f t="shared" si="29"/>
        <v>0</v>
      </c>
      <c r="I851" s="376">
        <v>0</v>
      </c>
    </row>
    <row r="852" spans="1:9" x14ac:dyDescent="0.25">
      <c r="A852" s="373">
        <v>151</v>
      </c>
      <c r="B852" s="374">
        <f>PRRAS!C865</f>
        <v>851</v>
      </c>
      <c r="C852" s="374">
        <f>PRRAS!D865</f>
        <v>0</v>
      </c>
      <c r="D852" s="374">
        <f>PRRAS!E865</f>
        <v>0</v>
      </c>
      <c r="E852" s="374"/>
      <c r="F852" s="374"/>
      <c r="G852" s="375">
        <f t="shared" si="28"/>
        <v>0</v>
      </c>
      <c r="H852" s="375">
        <f t="shared" si="29"/>
        <v>0</v>
      </c>
      <c r="I852" s="376">
        <v>0</v>
      </c>
    </row>
    <row r="853" spans="1:9" x14ac:dyDescent="0.25">
      <c r="A853" s="373">
        <v>151</v>
      </c>
      <c r="B853" s="374">
        <f>PRRAS!C866</f>
        <v>852</v>
      </c>
      <c r="C853" s="374">
        <f>PRRAS!D866</f>
        <v>0</v>
      </c>
      <c r="D853" s="374">
        <f>PRRAS!E866</f>
        <v>0</v>
      </c>
      <c r="E853" s="374"/>
      <c r="F853" s="374"/>
      <c r="G853" s="375">
        <f t="shared" si="28"/>
        <v>0</v>
      </c>
      <c r="H853" s="375">
        <f t="shared" si="29"/>
        <v>0</v>
      </c>
      <c r="I853" s="376">
        <v>0</v>
      </c>
    </row>
    <row r="854" spans="1:9" x14ac:dyDescent="0.25">
      <c r="A854" s="373">
        <v>151</v>
      </c>
      <c r="B854" s="374">
        <f>PRRAS!C867</f>
        <v>853</v>
      </c>
      <c r="C854" s="374">
        <f>PRRAS!D867</f>
        <v>0</v>
      </c>
      <c r="D854" s="374">
        <f>PRRAS!E867</f>
        <v>0</v>
      </c>
      <c r="E854" s="374"/>
      <c r="F854" s="374"/>
      <c r="G854" s="375">
        <f t="shared" si="28"/>
        <v>0</v>
      </c>
      <c r="H854" s="375">
        <f t="shared" si="29"/>
        <v>0</v>
      </c>
      <c r="I854" s="376">
        <v>0</v>
      </c>
    </row>
    <row r="855" spans="1:9" x14ac:dyDescent="0.25">
      <c r="A855" s="373">
        <v>151</v>
      </c>
      <c r="B855" s="374">
        <f>PRRAS!C868</f>
        <v>854</v>
      </c>
      <c r="C855" s="374">
        <f>PRRAS!D868</f>
        <v>0</v>
      </c>
      <c r="D855" s="374">
        <f>PRRAS!E868</f>
        <v>0</v>
      </c>
      <c r="E855" s="374"/>
      <c r="F855" s="374"/>
      <c r="G855" s="375">
        <f t="shared" si="28"/>
        <v>0</v>
      </c>
      <c r="H855" s="375">
        <f t="shared" si="29"/>
        <v>0</v>
      </c>
      <c r="I855" s="376">
        <v>0</v>
      </c>
    </row>
    <row r="856" spans="1:9" x14ac:dyDescent="0.25">
      <c r="A856" s="373">
        <v>151</v>
      </c>
      <c r="B856" s="374">
        <f>PRRAS!C869</f>
        <v>855</v>
      </c>
      <c r="C856" s="374">
        <f>PRRAS!D869</f>
        <v>0</v>
      </c>
      <c r="D856" s="374">
        <f>PRRAS!E869</f>
        <v>0</v>
      </c>
      <c r="E856" s="374"/>
      <c r="F856" s="374"/>
      <c r="G856" s="375">
        <f t="shared" si="28"/>
        <v>0</v>
      </c>
      <c r="H856" s="375">
        <f t="shared" si="29"/>
        <v>0</v>
      </c>
      <c r="I856" s="376">
        <v>0</v>
      </c>
    </row>
    <row r="857" spans="1:9" x14ac:dyDescent="0.25">
      <c r="A857" s="373">
        <v>151</v>
      </c>
      <c r="B857" s="374">
        <f>PRRAS!C870</f>
        <v>856</v>
      </c>
      <c r="C857" s="374">
        <f>PRRAS!D870</f>
        <v>0</v>
      </c>
      <c r="D857" s="374">
        <f>PRRAS!E870</f>
        <v>0</v>
      </c>
      <c r="E857" s="374"/>
      <c r="F857" s="374"/>
      <c r="G857" s="375">
        <f t="shared" si="28"/>
        <v>0</v>
      </c>
      <c r="H857" s="375">
        <f t="shared" si="29"/>
        <v>0</v>
      </c>
      <c r="I857" s="376">
        <v>0</v>
      </c>
    </row>
    <row r="858" spans="1:9" x14ac:dyDescent="0.25">
      <c r="A858" s="373">
        <v>151</v>
      </c>
      <c r="B858" s="374">
        <f>PRRAS!C871</f>
        <v>857</v>
      </c>
      <c r="C858" s="374">
        <f>PRRAS!D871</f>
        <v>0</v>
      </c>
      <c r="D858" s="374">
        <f>PRRAS!E871</f>
        <v>0</v>
      </c>
      <c r="E858" s="374"/>
      <c r="F858" s="374"/>
      <c r="G858" s="375">
        <f t="shared" si="28"/>
        <v>0</v>
      </c>
      <c r="H858" s="375">
        <f t="shared" si="29"/>
        <v>0</v>
      </c>
      <c r="I858" s="376">
        <v>0</v>
      </c>
    </row>
    <row r="859" spans="1:9" x14ac:dyDescent="0.25">
      <c r="A859" s="373">
        <v>151</v>
      </c>
      <c r="B859" s="374">
        <f>PRRAS!C872</f>
        <v>858</v>
      </c>
      <c r="C859" s="374">
        <f>PRRAS!D872</f>
        <v>0</v>
      </c>
      <c r="D859" s="374">
        <f>PRRAS!E872</f>
        <v>0</v>
      </c>
      <c r="E859" s="374"/>
      <c r="F859" s="374"/>
      <c r="G859" s="375">
        <f t="shared" si="28"/>
        <v>0</v>
      </c>
      <c r="H859" s="375">
        <f t="shared" si="29"/>
        <v>0</v>
      </c>
      <c r="I859" s="376">
        <v>0</v>
      </c>
    </row>
    <row r="860" spans="1:9" x14ac:dyDescent="0.25">
      <c r="A860" s="373">
        <v>151</v>
      </c>
      <c r="B860" s="374">
        <f>PRRAS!C873</f>
        <v>859</v>
      </c>
      <c r="C860" s="374">
        <f>PRRAS!D873</f>
        <v>0</v>
      </c>
      <c r="D860" s="374">
        <f>PRRAS!E873</f>
        <v>0</v>
      </c>
      <c r="E860" s="374"/>
      <c r="F860" s="374"/>
      <c r="G860" s="375">
        <f t="shared" si="28"/>
        <v>0</v>
      </c>
      <c r="H860" s="375">
        <f t="shared" si="29"/>
        <v>0</v>
      </c>
      <c r="I860" s="376">
        <v>0</v>
      </c>
    </row>
    <row r="861" spans="1:9" x14ac:dyDescent="0.25">
      <c r="A861" s="373">
        <v>151</v>
      </c>
      <c r="B861" s="374">
        <f>PRRAS!C874</f>
        <v>860</v>
      </c>
      <c r="C861" s="374">
        <f>PRRAS!D874</f>
        <v>0</v>
      </c>
      <c r="D861" s="374">
        <f>PRRAS!E874</f>
        <v>0</v>
      </c>
      <c r="E861" s="374"/>
      <c r="F861" s="374"/>
      <c r="G861" s="375">
        <f t="shared" si="28"/>
        <v>0</v>
      </c>
      <c r="H861" s="375">
        <f t="shared" si="29"/>
        <v>0</v>
      </c>
      <c r="I861" s="376">
        <v>0</v>
      </c>
    </row>
    <row r="862" spans="1:9" x14ac:dyDescent="0.25">
      <c r="A862" s="373">
        <v>151</v>
      </c>
      <c r="B862" s="374">
        <f>PRRAS!C875</f>
        <v>861</v>
      </c>
      <c r="C862" s="374">
        <f>PRRAS!D875</f>
        <v>0</v>
      </c>
      <c r="D862" s="374">
        <f>PRRAS!E875</f>
        <v>0</v>
      </c>
      <c r="E862" s="374"/>
      <c r="F862" s="374"/>
      <c r="G862" s="375">
        <f t="shared" si="28"/>
        <v>0</v>
      </c>
      <c r="H862" s="375">
        <f t="shared" si="29"/>
        <v>0</v>
      </c>
      <c r="I862" s="376">
        <v>0</v>
      </c>
    </row>
    <row r="863" spans="1:9" x14ac:dyDescent="0.25">
      <c r="A863" s="373">
        <v>151</v>
      </c>
      <c r="B863" s="374">
        <f>PRRAS!C876</f>
        <v>862</v>
      </c>
      <c r="C863" s="374">
        <f>PRRAS!D876</f>
        <v>0</v>
      </c>
      <c r="D863" s="374">
        <f>PRRAS!E876</f>
        <v>0</v>
      </c>
      <c r="E863" s="374"/>
      <c r="F863" s="374"/>
      <c r="G863" s="375">
        <f t="shared" si="28"/>
        <v>0</v>
      </c>
      <c r="H863" s="375">
        <f t="shared" si="29"/>
        <v>0</v>
      </c>
      <c r="I863" s="376">
        <v>0</v>
      </c>
    </row>
    <row r="864" spans="1:9" x14ac:dyDescent="0.25">
      <c r="A864" s="373">
        <v>151</v>
      </c>
      <c r="B864" s="374">
        <f>PRRAS!C877</f>
        <v>863</v>
      </c>
      <c r="C864" s="374">
        <f>PRRAS!D877</f>
        <v>0</v>
      </c>
      <c r="D864" s="374">
        <f>PRRAS!E877</f>
        <v>0</v>
      </c>
      <c r="E864" s="374"/>
      <c r="F864" s="374"/>
      <c r="G864" s="375">
        <f t="shared" si="28"/>
        <v>0</v>
      </c>
      <c r="H864" s="375">
        <f t="shared" si="29"/>
        <v>0</v>
      </c>
      <c r="I864" s="376">
        <v>0</v>
      </c>
    </row>
    <row r="865" spans="1:9" x14ac:dyDescent="0.25">
      <c r="A865" s="373">
        <v>151</v>
      </c>
      <c r="B865" s="374">
        <f>PRRAS!C881</f>
        <v>864</v>
      </c>
      <c r="C865" s="374">
        <f>PRRAS!D881</f>
        <v>0</v>
      </c>
      <c r="D865" s="374">
        <f>PRRAS!E881</f>
        <v>0</v>
      </c>
      <c r="E865" s="374"/>
      <c r="F865" s="374"/>
      <c r="G865" s="375">
        <f t="shared" si="28"/>
        <v>0</v>
      </c>
      <c r="H865" s="375">
        <f t="shared" si="29"/>
        <v>0</v>
      </c>
      <c r="I865" s="376">
        <v>0</v>
      </c>
    </row>
    <row r="866" spans="1:9" x14ac:dyDescent="0.25">
      <c r="A866" s="373">
        <v>151</v>
      </c>
      <c r="B866" s="374">
        <f>PRRAS!C882</f>
        <v>865</v>
      </c>
      <c r="C866" s="374">
        <f>PRRAS!D882</f>
        <v>0</v>
      </c>
      <c r="D866" s="374">
        <f>PRRAS!E882</f>
        <v>0</v>
      </c>
      <c r="E866" s="374"/>
      <c r="F866" s="374"/>
      <c r="G866" s="375">
        <f t="shared" si="28"/>
        <v>0</v>
      </c>
      <c r="H866" s="375">
        <f t="shared" si="29"/>
        <v>0</v>
      </c>
      <c r="I866" s="376">
        <v>0</v>
      </c>
    </row>
    <row r="867" spans="1:9" x14ac:dyDescent="0.25">
      <c r="A867" s="373">
        <v>151</v>
      </c>
      <c r="B867" s="374">
        <f>PRRAS!C883</f>
        <v>866</v>
      </c>
      <c r="C867" s="374">
        <f>PRRAS!D883</f>
        <v>0</v>
      </c>
      <c r="D867" s="374">
        <f>PRRAS!E883</f>
        <v>0</v>
      </c>
      <c r="E867" s="374"/>
      <c r="F867" s="374"/>
      <c r="G867" s="375">
        <f t="shared" si="28"/>
        <v>0</v>
      </c>
      <c r="H867" s="375">
        <f t="shared" si="29"/>
        <v>0</v>
      </c>
      <c r="I867" s="376">
        <v>0</v>
      </c>
    </row>
    <row r="868" spans="1:9" x14ac:dyDescent="0.25">
      <c r="A868" s="373">
        <v>151</v>
      </c>
      <c r="B868" s="374">
        <f>PRRAS!C884</f>
        <v>867</v>
      </c>
      <c r="C868" s="374">
        <f>PRRAS!D884</f>
        <v>0</v>
      </c>
      <c r="D868" s="374">
        <f>PRRAS!E884</f>
        <v>0</v>
      </c>
      <c r="E868" s="374"/>
      <c r="F868" s="374"/>
      <c r="G868" s="375">
        <f t="shared" si="28"/>
        <v>0</v>
      </c>
      <c r="H868" s="375">
        <f t="shared" si="29"/>
        <v>0</v>
      </c>
      <c r="I868" s="376">
        <v>0</v>
      </c>
    </row>
    <row r="869" spans="1:9" x14ac:dyDescent="0.25">
      <c r="A869" s="373">
        <v>151</v>
      </c>
      <c r="B869" s="374">
        <f>PRRAS!C885</f>
        <v>868</v>
      </c>
      <c r="C869" s="374">
        <f>PRRAS!D885</f>
        <v>0</v>
      </c>
      <c r="D869" s="374">
        <f>PRRAS!E885</f>
        <v>0</v>
      </c>
      <c r="E869" s="374"/>
      <c r="F869" s="374"/>
      <c r="G869" s="375">
        <f t="shared" si="28"/>
        <v>0</v>
      </c>
      <c r="H869" s="375">
        <f t="shared" si="29"/>
        <v>0</v>
      </c>
      <c r="I869" s="376">
        <v>0</v>
      </c>
    </row>
    <row r="870" spans="1:9" x14ac:dyDescent="0.25">
      <c r="A870" s="373">
        <v>151</v>
      </c>
      <c r="B870" s="374">
        <f>PRRAS!C886</f>
        <v>869</v>
      </c>
      <c r="C870" s="374">
        <f>PRRAS!D886</f>
        <v>0</v>
      </c>
      <c r="D870" s="374">
        <f>PRRAS!E886</f>
        <v>0</v>
      </c>
      <c r="E870" s="374"/>
      <c r="F870" s="374"/>
      <c r="G870" s="375">
        <f t="shared" si="28"/>
        <v>0</v>
      </c>
      <c r="H870" s="375">
        <f t="shared" si="29"/>
        <v>0</v>
      </c>
      <c r="I870" s="376">
        <v>0</v>
      </c>
    </row>
    <row r="871" spans="1:9" x14ac:dyDescent="0.25">
      <c r="A871" s="373">
        <v>151</v>
      </c>
      <c r="B871" s="374">
        <f>PRRAS!C887</f>
        <v>870</v>
      </c>
      <c r="C871" s="374">
        <f>PRRAS!D887</f>
        <v>0</v>
      </c>
      <c r="D871" s="374">
        <f>PRRAS!E887</f>
        <v>0</v>
      </c>
      <c r="E871" s="374"/>
      <c r="F871" s="374"/>
      <c r="G871" s="375">
        <f t="shared" si="28"/>
        <v>0</v>
      </c>
      <c r="H871" s="375">
        <f t="shared" si="29"/>
        <v>0</v>
      </c>
      <c r="I871" s="376">
        <v>0</v>
      </c>
    </row>
    <row r="872" spans="1:9" x14ac:dyDescent="0.25">
      <c r="A872" s="373">
        <v>151</v>
      </c>
      <c r="B872" s="374">
        <f>PRRAS!C888</f>
        <v>871</v>
      </c>
      <c r="C872" s="374">
        <f>PRRAS!D888</f>
        <v>0</v>
      </c>
      <c r="D872" s="374">
        <f>PRRAS!E888</f>
        <v>0</v>
      </c>
      <c r="E872" s="374"/>
      <c r="F872" s="374"/>
      <c r="G872" s="375">
        <f t="shared" si="28"/>
        <v>0</v>
      </c>
      <c r="H872" s="375">
        <f t="shared" si="29"/>
        <v>0</v>
      </c>
      <c r="I872" s="376">
        <v>0</v>
      </c>
    </row>
    <row r="873" spans="1:9" x14ac:dyDescent="0.25">
      <c r="A873" s="373">
        <v>151</v>
      </c>
      <c r="B873" s="374">
        <f>PRRAS!C889</f>
        <v>872</v>
      </c>
      <c r="C873" s="374">
        <f>PRRAS!D889</f>
        <v>0</v>
      </c>
      <c r="D873" s="374">
        <f>PRRAS!E889</f>
        <v>0</v>
      </c>
      <c r="E873" s="374"/>
      <c r="F873" s="374"/>
      <c r="G873" s="375">
        <f t="shared" si="28"/>
        <v>0</v>
      </c>
      <c r="H873" s="375">
        <f t="shared" si="29"/>
        <v>0</v>
      </c>
      <c r="I873" s="376">
        <v>0</v>
      </c>
    </row>
    <row r="874" spans="1:9" x14ac:dyDescent="0.25">
      <c r="A874" s="373">
        <v>151</v>
      </c>
      <c r="B874" s="374">
        <f>PRRAS!C890</f>
        <v>873</v>
      </c>
      <c r="C874" s="374">
        <f>PRRAS!D890</f>
        <v>0</v>
      </c>
      <c r="D874" s="374">
        <f>PRRAS!E890</f>
        <v>0</v>
      </c>
      <c r="E874" s="374"/>
      <c r="F874" s="374"/>
      <c r="G874" s="375">
        <f t="shared" si="28"/>
        <v>0</v>
      </c>
      <c r="H874" s="375">
        <f t="shared" si="29"/>
        <v>0</v>
      </c>
      <c r="I874" s="376">
        <v>0</v>
      </c>
    </row>
    <row r="875" spans="1:9" x14ac:dyDescent="0.25">
      <c r="A875" s="373">
        <v>151</v>
      </c>
      <c r="B875" s="374">
        <f>PRRAS!C891</f>
        <v>874</v>
      </c>
      <c r="C875" s="374">
        <f>PRRAS!D891</f>
        <v>0</v>
      </c>
      <c r="D875" s="374">
        <f>PRRAS!E891</f>
        <v>0</v>
      </c>
      <c r="E875" s="374"/>
      <c r="F875" s="374"/>
      <c r="G875" s="375">
        <f t="shared" si="28"/>
        <v>0</v>
      </c>
      <c r="H875" s="375">
        <f t="shared" si="29"/>
        <v>0</v>
      </c>
      <c r="I875" s="376">
        <v>0</v>
      </c>
    </row>
    <row r="876" spans="1:9" x14ac:dyDescent="0.25">
      <c r="A876" s="373">
        <v>151</v>
      </c>
      <c r="B876" s="374">
        <f>PRRAS!C892</f>
        <v>875</v>
      </c>
      <c r="C876" s="374">
        <f>PRRAS!D892</f>
        <v>0</v>
      </c>
      <c r="D876" s="374">
        <f>PRRAS!E892</f>
        <v>0</v>
      </c>
      <c r="E876" s="374"/>
      <c r="F876" s="374"/>
      <c r="G876" s="375">
        <f t="shared" si="28"/>
        <v>0</v>
      </c>
      <c r="H876" s="375">
        <f t="shared" si="29"/>
        <v>0</v>
      </c>
      <c r="I876" s="376">
        <v>0</v>
      </c>
    </row>
    <row r="877" spans="1:9" x14ac:dyDescent="0.25">
      <c r="A877" s="373">
        <v>151</v>
      </c>
      <c r="B877" s="374">
        <f>PRRAS!C893</f>
        <v>876</v>
      </c>
      <c r="C877" s="374">
        <f>PRRAS!D893</f>
        <v>0</v>
      </c>
      <c r="D877" s="374">
        <f>PRRAS!E893</f>
        <v>0</v>
      </c>
      <c r="E877" s="374"/>
      <c r="F877" s="374"/>
      <c r="G877" s="375">
        <f t="shared" si="28"/>
        <v>0</v>
      </c>
      <c r="H877" s="375">
        <f t="shared" si="29"/>
        <v>0</v>
      </c>
      <c r="I877" s="376">
        <v>0</v>
      </c>
    </row>
    <row r="878" spans="1:9" x14ac:dyDescent="0.25">
      <c r="A878" s="373">
        <v>151</v>
      </c>
      <c r="B878" s="374">
        <f>PRRAS!C894</f>
        <v>877</v>
      </c>
      <c r="C878" s="374">
        <f>PRRAS!D894</f>
        <v>0</v>
      </c>
      <c r="D878" s="374">
        <f>PRRAS!E894</f>
        <v>0</v>
      </c>
      <c r="E878" s="374"/>
      <c r="F878" s="374"/>
      <c r="G878" s="375">
        <f t="shared" si="28"/>
        <v>0</v>
      </c>
      <c r="H878" s="375">
        <f t="shared" si="29"/>
        <v>0</v>
      </c>
      <c r="I878" s="376">
        <v>0</v>
      </c>
    </row>
    <row r="879" spans="1:9" x14ac:dyDescent="0.25">
      <c r="A879" s="373">
        <v>151</v>
      </c>
      <c r="B879" s="374">
        <f>PRRAS!C895</f>
        <v>878</v>
      </c>
      <c r="C879" s="374">
        <f>PRRAS!D895</f>
        <v>0</v>
      </c>
      <c r="D879" s="374">
        <f>PRRAS!E895</f>
        <v>0</v>
      </c>
      <c r="E879" s="374"/>
      <c r="F879" s="374"/>
      <c r="G879" s="375">
        <f t="shared" si="28"/>
        <v>0</v>
      </c>
      <c r="H879" s="375">
        <f t="shared" si="29"/>
        <v>0</v>
      </c>
      <c r="I879" s="376">
        <v>0</v>
      </c>
    </row>
    <row r="880" spans="1:9" x14ac:dyDescent="0.25">
      <c r="A880" s="373">
        <v>151</v>
      </c>
      <c r="B880" s="374">
        <f>PRRAS!C896</f>
        <v>879</v>
      </c>
      <c r="C880" s="374">
        <f>PRRAS!D896</f>
        <v>0</v>
      </c>
      <c r="D880" s="374">
        <f>PRRAS!E896</f>
        <v>0</v>
      </c>
      <c r="E880" s="374"/>
      <c r="F880" s="374"/>
      <c r="G880" s="375">
        <f t="shared" si="28"/>
        <v>0</v>
      </c>
      <c r="H880" s="375">
        <f t="shared" si="29"/>
        <v>0</v>
      </c>
      <c r="I880" s="376">
        <v>0</v>
      </c>
    </row>
    <row r="881" spans="1:9" x14ac:dyDescent="0.25">
      <c r="A881" s="373">
        <v>151</v>
      </c>
      <c r="B881" s="374">
        <f>PRRAS!C897</f>
        <v>880</v>
      </c>
      <c r="C881" s="374">
        <f>PRRAS!D897</f>
        <v>0</v>
      </c>
      <c r="D881" s="374">
        <f>PRRAS!E897</f>
        <v>0</v>
      </c>
      <c r="E881" s="374"/>
      <c r="F881" s="374"/>
      <c r="G881" s="375">
        <f t="shared" si="28"/>
        <v>0</v>
      </c>
      <c r="H881" s="375">
        <f t="shared" si="29"/>
        <v>0</v>
      </c>
      <c r="I881" s="376">
        <v>0</v>
      </c>
    </row>
    <row r="882" spans="1:9" x14ac:dyDescent="0.25">
      <c r="A882" s="373">
        <v>151</v>
      </c>
      <c r="B882" s="374">
        <f>PRRAS!C898</f>
        <v>881</v>
      </c>
      <c r="C882" s="374">
        <f>PRRAS!D898</f>
        <v>0</v>
      </c>
      <c r="D882" s="374">
        <f>PRRAS!E898</f>
        <v>0</v>
      </c>
      <c r="E882" s="374"/>
      <c r="F882" s="374"/>
      <c r="G882" s="375">
        <f t="shared" si="28"/>
        <v>0</v>
      </c>
      <c r="H882" s="375">
        <f t="shared" si="29"/>
        <v>0</v>
      </c>
      <c r="I882" s="376">
        <v>0</v>
      </c>
    </row>
    <row r="883" spans="1:9" x14ac:dyDescent="0.25">
      <c r="A883" s="373">
        <v>151</v>
      </c>
      <c r="B883" s="374">
        <f>PRRAS!C899</f>
        <v>882</v>
      </c>
      <c r="C883" s="374">
        <f>PRRAS!D899</f>
        <v>0</v>
      </c>
      <c r="D883" s="374">
        <f>PRRAS!E899</f>
        <v>0</v>
      </c>
      <c r="E883" s="374"/>
      <c r="F883" s="374"/>
      <c r="G883" s="375">
        <f t="shared" si="28"/>
        <v>0</v>
      </c>
      <c r="H883" s="375">
        <f t="shared" si="29"/>
        <v>0</v>
      </c>
      <c r="I883" s="376">
        <v>0</v>
      </c>
    </row>
    <row r="884" spans="1:9" x14ac:dyDescent="0.25">
      <c r="A884" s="373">
        <v>151</v>
      </c>
      <c r="B884" s="374">
        <f>PRRAS!C900</f>
        <v>883</v>
      </c>
      <c r="C884" s="374">
        <f>PRRAS!D900</f>
        <v>0</v>
      </c>
      <c r="D884" s="374">
        <f>PRRAS!E900</f>
        <v>0</v>
      </c>
      <c r="E884" s="374"/>
      <c r="F884" s="374"/>
      <c r="G884" s="375">
        <f t="shared" si="28"/>
        <v>0</v>
      </c>
      <c r="H884" s="375">
        <f t="shared" si="29"/>
        <v>0</v>
      </c>
      <c r="I884" s="376">
        <v>0</v>
      </c>
    </row>
    <row r="885" spans="1:9" x14ac:dyDescent="0.25">
      <c r="A885" s="373">
        <v>151</v>
      </c>
      <c r="B885" s="374">
        <f>PRRAS!C901</f>
        <v>884</v>
      </c>
      <c r="C885" s="374">
        <f>PRRAS!D901</f>
        <v>0</v>
      </c>
      <c r="D885" s="374">
        <f>PRRAS!E901</f>
        <v>0</v>
      </c>
      <c r="E885" s="374"/>
      <c r="F885" s="374"/>
      <c r="G885" s="375">
        <f t="shared" si="28"/>
        <v>0</v>
      </c>
      <c r="H885" s="375">
        <f t="shared" si="29"/>
        <v>0</v>
      </c>
      <c r="I885" s="376">
        <v>0</v>
      </c>
    </row>
    <row r="886" spans="1:9" x14ac:dyDescent="0.25">
      <c r="A886" s="373">
        <v>151</v>
      </c>
      <c r="B886" s="374">
        <f>PRRAS!C902</f>
        <v>885</v>
      </c>
      <c r="C886" s="374">
        <f>PRRAS!D902</f>
        <v>0</v>
      </c>
      <c r="D886" s="374">
        <f>PRRAS!E902</f>
        <v>0</v>
      </c>
      <c r="E886" s="374"/>
      <c r="F886" s="374"/>
      <c r="G886" s="375">
        <f t="shared" si="28"/>
        <v>0</v>
      </c>
      <c r="H886" s="375">
        <f t="shared" si="29"/>
        <v>0</v>
      </c>
      <c r="I886" s="376">
        <v>0</v>
      </c>
    </row>
    <row r="887" spans="1:9" x14ac:dyDescent="0.25">
      <c r="A887" s="373">
        <v>151</v>
      </c>
      <c r="B887" s="374">
        <f>PRRAS!C903</f>
        <v>886</v>
      </c>
      <c r="C887" s="374">
        <f>PRRAS!D903</f>
        <v>0</v>
      </c>
      <c r="D887" s="374">
        <f>PRRAS!E903</f>
        <v>0</v>
      </c>
      <c r="E887" s="374"/>
      <c r="F887" s="374"/>
      <c r="G887" s="375">
        <f t="shared" si="28"/>
        <v>0</v>
      </c>
      <c r="H887" s="375">
        <f t="shared" si="29"/>
        <v>0</v>
      </c>
      <c r="I887" s="376">
        <v>0</v>
      </c>
    </row>
    <row r="888" spans="1:9" x14ac:dyDescent="0.25">
      <c r="A888" s="373">
        <v>151</v>
      </c>
      <c r="B888" s="374">
        <f>PRRAS!C904</f>
        <v>887</v>
      </c>
      <c r="C888" s="374">
        <f>PRRAS!D904</f>
        <v>0</v>
      </c>
      <c r="D888" s="374">
        <f>PRRAS!E904</f>
        <v>0</v>
      </c>
      <c r="E888" s="374"/>
      <c r="F888" s="374"/>
      <c r="G888" s="375">
        <f t="shared" si="28"/>
        <v>0</v>
      </c>
      <c r="H888" s="375">
        <f t="shared" si="29"/>
        <v>0</v>
      </c>
      <c r="I888" s="376">
        <v>0</v>
      </c>
    </row>
    <row r="889" spans="1:9" x14ac:dyDescent="0.25">
      <c r="A889" s="373">
        <v>151</v>
      </c>
      <c r="B889" s="374">
        <f>PRRAS!C905</f>
        <v>888</v>
      </c>
      <c r="C889" s="374">
        <f>PRRAS!D905</f>
        <v>0</v>
      </c>
      <c r="D889" s="374">
        <f>PRRAS!E905</f>
        <v>0</v>
      </c>
      <c r="E889" s="374"/>
      <c r="F889" s="374"/>
      <c r="G889" s="375">
        <f t="shared" si="28"/>
        <v>0</v>
      </c>
      <c r="H889" s="375">
        <f t="shared" si="29"/>
        <v>0</v>
      </c>
      <c r="I889" s="376">
        <v>0</v>
      </c>
    </row>
    <row r="890" spans="1:9" x14ac:dyDescent="0.25">
      <c r="A890" s="373">
        <v>151</v>
      </c>
      <c r="B890" s="374">
        <f>PRRAS!C906</f>
        <v>889</v>
      </c>
      <c r="C890" s="374">
        <f>PRRAS!D906</f>
        <v>0</v>
      </c>
      <c r="D890" s="374">
        <f>PRRAS!E906</f>
        <v>0</v>
      </c>
      <c r="E890" s="374"/>
      <c r="F890" s="374"/>
      <c r="G890" s="375">
        <f t="shared" si="28"/>
        <v>0</v>
      </c>
      <c r="H890" s="375">
        <f t="shared" si="29"/>
        <v>0</v>
      </c>
      <c r="I890" s="376">
        <v>0</v>
      </c>
    </row>
    <row r="891" spans="1:9" x14ac:dyDescent="0.25">
      <c r="A891" s="373">
        <v>151</v>
      </c>
      <c r="B891" s="374">
        <f>PRRAS!C907</f>
        <v>890</v>
      </c>
      <c r="C891" s="374">
        <f>PRRAS!D907</f>
        <v>0</v>
      </c>
      <c r="D891" s="374">
        <f>PRRAS!E907</f>
        <v>0</v>
      </c>
      <c r="E891" s="374"/>
      <c r="F891" s="374"/>
      <c r="G891" s="375">
        <f t="shared" si="28"/>
        <v>0</v>
      </c>
      <c r="H891" s="375">
        <f t="shared" si="29"/>
        <v>0</v>
      </c>
      <c r="I891" s="376">
        <v>0</v>
      </c>
    </row>
    <row r="892" spans="1:9" x14ac:dyDescent="0.25">
      <c r="A892" s="373">
        <v>151</v>
      </c>
      <c r="B892" s="374">
        <f>PRRAS!C908</f>
        <v>891</v>
      </c>
      <c r="C892" s="374">
        <f>PRRAS!D908</f>
        <v>0</v>
      </c>
      <c r="D892" s="374">
        <f>PRRAS!E908</f>
        <v>0</v>
      </c>
      <c r="E892" s="374"/>
      <c r="F892" s="374"/>
      <c r="G892" s="375">
        <f t="shared" si="28"/>
        <v>0</v>
      </c>
      <c r="H892" s="375">
        <f t="shared" si="29"/>
        <v>0</v>
      </c>
      <c r="I892" s="376">
        <v>0</v>
      </c>
    </row>
    <row r="893" spans="1:9" x14ac:dyDescent="0.25">
      <c r="A893" s="373">
        <v>151</v>
      </c>
      <c r="B893" s="374">
        <f>PRRAS!C909</f>
        <v>892</v>
      </c>
      <c r="C893" s="374">
        <f>PRRAS!D909</f>
        <v>0</v>
      </c>
      <c r="D893" s="374">
        <f>PRRAS!E909</f>
        <v>0</v>
      </c>
      <c r="E893" s="374"/>
      <c r="F893" s="374"/>
      <c r="G893" s="375">
        <f t="shared" si="28"/>
        <v>0</v>
      </c>
      <c r="H893" s="375">
        <f t="shared" si="29"/>
        <v>0</v>
      </c>
      <c r="I893" s="376">
        <v>0</v>
      </c>
    </row>
    <row r="894" spans="1:9" x14ac:dyDescent="0.25">
      <c r="A894" s="373">
        <v>151</v>
      </c>
      <c r="B894" s="374">
        <f>PRRAS!C910</f>
        <v>893</v>
      </c>
      <c r="C894" s="374">
        <f>PRRAS!D910</f>
        <v>0</v>
      </c>
      <c r="D894" s="374">
        <f>PRRAS!E910</f>
        <v>0</v>
      </c>
      <c r="E894" s="374"/>
      <c r="F894" s="374"/>
      <c r="G894" s="375">
        <f t="shared" si="28"/>
        <v>0</v>
      </c>
      <c r="H894" s="375">
        <f t="shared" si="29"/>
        <v>0</v>
      </c>
      <c r="I894" s="376">
        <v>0</v>
      </c>
    </row>
    <row r="895" spans="1:9" x14ac:dyDescent="0.25">
      <c r="A895" s="373">
        <v>151</v>
      </c>
      <c r="B895" s="374">
        <f>PRRAS!C911</f>
        <v>894</v>
      </c>
      <c r="C895" s="374">
        <f>PRRAS!D911</f>
        <v>0</v>
      </c>
      <c r="D895" s="374">
        <f>PRRAS!E911</f>
        <v>0</v>
      </c>
      <c r="E895" s="374"/>
      <c r="F895" s="374"/>
      <c r="G895" s="375">
        <f t="shared" si="28"/>
        <v>0</v>
      </c>
      <c r="H895" s="375">
        <f t="shared" si="29"/>
        <v>0</v>
      </c>
      <c r="I895" s="376">
        <v>0</v>
      </c>
    </row>
    <row r="896" spans="1:9" x14ac:dyDescent="0.25">
      <c r="A896" s="373">
        <v>151</v>
      </c>
      <c r="B896" s="374">
        <f>PRRAS!C912</f>
        <v>895</v>
      </c>
      <c r="C896" s="374">
        <f>PRRAS!D912</f>
        <v>0</v>
      </c>
      <c r="D896" s="374">
        <f>PRRAS!E912</f>
        <v>0</v>
      </c>
      <c r="E896" s="374"/>
      <c r="F896" s="374"/>
      <c r="G896" s="375">
        <f>(B896/1000)*(C896*1+D896*2)</f>
        <v>0</v>
      </c>
      <c r="H896" s="375">
        <f>ABS(C896-ROUND(C896,0))+ABS(D896-ROUND(D896,0))</f>
        <v>0</v>
      </c>
      <c r="I896" s="376">
        <v>0</v>
      </c>
    </row>
    <row r="897" spans="1:9" x14ac:dyDescent="0.25">
      <c r="A897" s="373">
        <v>151</v>
      </c>
      <c r="B897" s="374">
        <f>PRRAS!C913</f>
        <v>896</v>
      </c>
      <c r="C897" s="374">
        <f>PRRAS!D913</f>
        <v>0</v>
      </c>
      <c r="D897" s="374">
        <f>PRRAS!E913</f>
        <v>0</v>
      </c>
      <c r="E897" s="374"/>
      <c r="F897" s="374"/>
      <c r="G897" s="375">
        <f>(B897/1000)*(C897*1+D897*2)</f>
        <v>0</v>
      </c>
      <c r="H897" s="375">
        <f>ABS(C897-ROUND(C897,0))+ABS(D897-ROUND(D897,0))</f>
        <v>0</v>
      </c>
      <c r="I897" s="376">
        <v>0</v>
      </c>
    </row>
    <row r="898" spans="1:9" x14ac:dyDescent="0.25">
      <c r="A898" s="373">
        <v>151</v>
      </c>
      <c r="B898" s="374">
        <f>PRRAS!C914</f>
        <v>897</v>
      </c>
      <c r="C898" s="374">
        <f>PRRAS!D914</f>
        <v>0</v>
      </c>
      <c r="D898" s="374">
        <f>PRRAS!E914</f>
        <v>0</v>
      </c>
      <c r="E898" s="374"/>
      <c r="F898" s="374"/>
      <c r="G898" s="375">
        <f>(B898/1000)*(C898*1+D898*2)</f>
        <v>0</v>
      </c>
      <c r="H898" s="375">
        <f>ABS(C898-ROUND(C898,0))+ABS(D898-ROUND(D898,0))</f>
        <v>0</v>
      </c>
      <c r="I898" s="376">
        <v>0</v>
      </c>
    </row>
    <row r="899" spans="1:9" x14ac:dyDescent="0.25">
      <c r="A899" s="373">
        <v>151</v>
      </c>
      <c r="B899" s="374">
        <f>PRRAS!C915</f>
        <v>898</v>
      </c>
      <c r="C899" s="374">
        <f>PRRAS!D915</f>
        <v>0</v>
      </c>
      <c r="D899" s="374">
        <f>PRRAS!E915</f>
        <v>0</v>
      </c>
      <c r="E899" s="374"/>
      <c r="F899" s="374"/>
      <c r="G899" s="375">
        <f>(B899/1000)*(C899*1+D899*2)</f>
        <v>0</v>
      </c>
      <c r="H899" s="375">
        <f>ABS(C899-ROUND(C899,0))+ABS(D899-ROUND(D899,0))</f>
        <v>0</v>
      </c>
      <c r="I899" s="376">
        <v>0</v>
      </c>
    </row>
    <row r="900" spans="1:9" x14ac:dyDescent="0.25">
      <c r="A900" s="387">
        <v>151</v>
      </c>
      <c r="B900" s="388">
        <f>PRRAS!C916</f>
        <v>899</v>
      </c>
      <c r="C900" s="388">
        <f>PRRAS!D916</f>
        <v>0</v>
      </c>
      <c r="D900" s="388">
        <f>PRRAS!E916</f>
        <v>0</v>
      </c>
      <c r="E900" s="388"/>
      <c r="F900" s="388"/>
      <c r="G900" s="389">
        <f>(B900/1000)*(C900*1+D900*2)</f>
        <v>0</v>
      </c>
      <c r="H900" s="389">
        <f>ABS(C900-ROUND(C900,0))+ABS(D900-ROUND(D900,0))</f>
        <v>0</v>
      </c>
      <c r="I900" s="390">
        <v>0</v>
      </c>
    </row>
    <row r="901" spans="1:9" x14ac:dyDescent="0.25">
      <c r="A901" s="383">
        <v>153</v>
      </c>
      <c r="B901" s="384">
        <f>NT!C12</f>
        <v>1</v>
      </c>
      <c r="C901" s="384">
        <f>NT!D12</f>
        <v>3203695</v>
      </c>
      <c r="D901" s="384">
        <v>0</v>
      </c>
      <c r="E901" s="384"/>
      <c r="F901" s="384"/>
      <c r="G901" s="385">
        <f t="shared" ref="G901:G911" si="30">B901/1000*C901</f>
        <v>3203.6950000000002</v>
      </c>
      <c r="H901" s="385">
        <f t="shared" ref="H901:H911" si="31">ABS(C901-ROUND(C901,0))</f>
        <v>0</v>
      </c>
      <c r="I901" s="386">
        <v>0</v>
      </c>
    </row>
    <row r="902" spans="1:9" x14ac:dyDescent="0.25">
      <c r="A902" s="373">
        <v>153</v>
      </c>
      <c r="B902" s="374">
        <f>NT!C13</f>
        <v>2</v>
      </c>
      <c r="C902" s="374">
        <f>NT!D13</f>
        <v>1233361</v>
      </c>
      <c r="D902" s="374">
        <v>0</v>
      </c>
      <c r="E902" s="374"/>
      <c r="F902" s="374"/>
      <c r="G902" s="375">
        <f t="shared" si="30"/>
        <v>2466.7220000000002</v>
      </c>
      <c r="H902" s="375">
        <f t="shared" si="31"/>
        <v>0</v>
      </c>
      <c r="I902" s="376">
        <v>0</v>
      </c>
    </row>
    <row r="903" spans="1:9" x14ac:dyDescent="0.25">
      <c r="A903" s="373">
        <v>153</v>
      </c>
      <c r="B903" s="374">
        <f>NT!C14</f>
        <v>3</v>
      </c>
      <c r="C903" s="374">
        <f>NT!D14</f>
        <v>0</v>
      </c>
      <c r="D903" s="374">
        <v>0</v>
      </c>
      <c r="E903" s="374"/>
      <c r="F903" s="374"/>
      <c r="G903" s="375">
        <f t="shared" si="30"/>
        <v>0</v>
      </c>
      <c r="H903" s="375">
        <f t="shared" si="31"/>
        <v>0</v>
      </c>
      <c r="I903" s="376">
        <v>0</v>
      </c>
    </row>
    <row r="904" spans="1:9" x14ac:dyDescent="0.25">
      <c r="A904" s="373">
        <v>153</v>
      </c>
      <c r="B904" s="374">
        <f>NT!C15</f>
        <v>4</v>
      </c>
      <c r="C904" s="374">
        <f>NT!D15</f>
        <v>620733</v>
      </c>
      <c r="D904" s="374">
        <v>0</v>
      </c>
      <c r="E904" s="374"/>
      <c r="F904" s="374"/>
      <c r="G904" s="375">
        <f t="shared" si="30"/>
        <v>2482.9320000000002</v>
      </c>
      <c r="H904" s="375">
        <f t="shared" si="31"/>
        <v>0</v>
      </c>
      <c r="I904" s="376">
        <v>0</v>
      </c>
    </row>
    <row r="905" spans="1:9" x14ac:dyDescent="0.25">
      <c r="A905" s="373">
        <v>153</v>
      </c>
      <c r="B905" s="374">
        <f>NT!C16</f>
        <v>5</v>
      </c>
      <c r="C905" s="374">
        <f>NT!D16</f>
        <v>651928</v>
      </c>
      <c r="D905" s="374">
        <v>0</v>
      </c>
      <c r="E905" s="374"/>
      <c r="F905" s="374"/>
      <c r="G905" s="375">
        <f t="shared" si="30"/>
        <v>3259.64</v>
      </c>
      <c r="H905" s="375">
        <f t="shared" si="31"/>
        <v>0</v>
      </c>
      <c r="I905" s="376">
        <v>0</v>
      </c>
    </row>
    <row r="906" spans="1:9" x14ac:dyDescent="0.25">
      <c r="A906" s="373">
        <v>153</v>
      </c>
      <c r="B906" s="374">
        <f>NT!C17</f>
        <v>6</v>
      </c>
      <c r="C906" s="374">
        <f>NT!D17</f>
        <v>697673</v>
      </c>
      <c r="D906" s="374">
        <v>0</v>
      </c>
      <c r="E906" s="374"/>
      <c r="F906" s="374"/>
      <c r="G906" s="375">
        <f t="shared" si="30"/>
        <v>4186.0380000000005</v>
      </c>
      <c r="H906" s="375">
        <f t="shared" si="31"/>
        <v>0</v>
      </c>
      <c r="I906" s="376">
        <v>0</v>
      </c>
    </row>
    <row r="907" spans="1:9" x14ac:dyDescent="0.25">
      <c r="A907" s="373">
        <v>153</v>
      </c>
      <c r="B907" s="374">
        <f>NT!C18</f>
        <v>7</v>
      </c>
      <c r="C907" s="374">
        <f>NT!D18</f>
        <v>0</v>
      </c>
      <c r="D907" s="374">
        <v>0</v>
      </c>
      <c r="E907" s="374"/>
      <c r="F907" s="374"/>
      <c r="G907" s="375">
        <f t="shared" si="30"/>
        <v>0</v>
      </c>
      <c r="H907" s="375">
        <f t="shared" si="31"/>
        <v>0</v>
      </c>
      <c r="I907" s="376">
        <v>0</v>
      </c>
    </row>
    <row r="908" spans="1:9" x14ac:dyDescent="0.25">
      <c r="A908" s="373">
        <v>153</v>
      </c>
      <c r="B908" s="374">
        <f>NT!C19</f>
        <v>8</v>
      </c>
      <c r="C908" s="374">
        <f>NT!D19</f>
        <v>0</v>
      </c>
      <c r="D908" s="374">
        <v>0</v>
      </c>
      <c r="E908" s="374"/>
      <c r="F908" s="374"/>
      <c r="G908" s="375">
        <f t="shared" si="30"/>
        <v>0</v>
      </c>
      <c r="H908" s="375">
        <f t="shared" si="31"/>
        <v>0</v>
      </c>
      <c r="I908" s="376">
        <v>0</v>
      </c>
    </row>
    <row r="909" spans="1:9" x14ac:dyDescent="0.25">
      <c r="A909" s="373">
        <v>153</v>
      </c>
      <c r="B909" s="374">
        <f>NT!C20</f>
        <v>9</v>
      </c>
      <c r="C909" s="374">
        <f>NT!D20</f>
        <v>0</v>
      </c>
      <c r="D909" s="374">
        <v>0</v>
      </c>
      <c r="E909" s="374"/>
      <c r="F909" s="374"/>
      <c r="G909" s="375">
        <f t="shared" si="30"/>
        <v>0</v>
      </c>
      <c r="H909" s="375">
        <f t="shared" si="31"/>
        <v>0</v>
      </c>
      <c r="I909" s="376">
        <v>0</v>
      </c>
    </row>
    <row r="910" spans="1:9" x14ac:dyDescent="0.25">
      <c r="A910" s="373">
        <v>153</v>
      </c>
      <c r="B910" s="374">
        <f>NT!C21</f>
        <v>10</v>
      </c>
      <c r="C910" s="374">
        <f>NT!D21</f>
        <v>3147531</v>
      </c>
      <c r="D910" s="374">
        <v>0</v>
      </c>
      <c r="E910" s="374"/>
      <c r="F910" s="374"/>
      <c r="G910" s="375">
        <f t="shared" si="30"/>
        <v>31475.31</v>
      </c>
      <c r="H910" s="375">
        <f t="shared" si="31"/>
        <v>0</v>
      </c>
      <c r="I910" s="376">
        <v>0</v>
      </c>
    </row>
    <row r="911" spans="1:9" x14ac:dyDescent="0.25">
      <c r="A911" s="373">
        <v>153</v>
      </c>
      <c r="B911" s="374">
        <f>NT!C22</f>
        <v>11</v>
      </c>
      <c r="C911" s="374">
        <f>NT!D22</f>
        <v>377062</v>
      </c>
      <c r="D911" s="374">
        <v>0</v>
      </c>
      <c r="E911" s="374"/>
      <c r="F911" s="374"/>
      <c r="G911" s="375">
        <f t="shared" si="30"/>
        <v>4147.6819999999998</v>
      </c>
      <c r="H911" s="375">
        <f t="shared" si="31"/>
        <v>0</v>
      </c>
      <c r="I911" s="376">
        <v>0</v>
      </c>
    </row>
    <row r="912" spans="1:9" x14ac:dyDescent="0.25">
      <c r="A912" s="373">
        <v>153</v>
      </c>
      <c r="B912" s="374">
        <f>NT!C23</f>
        <v>12</v>
      </c>
      <c r="C912" s="374">
        <f>NT!D23</f>
        <v>309172</v>
      </c>
      <c r="D912" s="374">
        <v>0</v>
      </c>
      <c r="E912" s="374"/>
      <c r="F912" s="374"/>
      <c r="G912" s="375">
        <f t="shared" ref="G912:G975" si="32">B912/1000*C912</f>
        <v>3710.0639999999999</v>
      </c>
      <c r="H912" s="375">
        <f t="shared" ref="H912:H975" si="33">ABS(C912-ROUND(C912,0))</f>
        <v>0</v>
      </c>
      <c r="I912" s="376">
        <v>0</v>
      </c>
    </row>
    <row r="913" spans="1:9" x14ac:dyDescent="0.25">
      <c r="A913" s="373">
        <v>153</v>
      </c>
      <c r="B913" s="374">
        <f>NT!C24</f>
        <v>13</v>
      </c>
      <c r="C913" s="374">
        <f>NT!D24</f>
        <v>308342</v>
      </c>
      <c r="D913" s="374">
        <v>0</v>
      </c>
      <c r="E913" s="374"/>
      <c r="F913" s="374"/>
      <c r="G913" s="375">
        <f t="shared" si="32"/>
        <v>4008.4459999999999</v>
      </c>
      <c r="H913" s="375">
        <f t="shared" si="33"/>
        <v>0</v>
      </c>
      <c r="I913" s="376">
        <v>0</v>
      </c>
    </row>
    <row r="914" spans="1:9" x14ac:dyDescent="0.25">
      <c r="A914" s="373">
        <v>153</v>
      </c>
      <c r="B914" s="374">
        <f>NT!C25</f>
        <v>14</v>
      </c>
      <c r="C914" s="374">
        <f>NT!D25</f>
        <v>0</v>
      </c>
      <c r="D914" s="374">
        <v>0</v>
      </c>
      <c r="E914" s="374"/>
      <c r="F914" s="374"/>
      <c r="G914" s="375">
        <f t="shared" si="32"/>
        <v>0</v>
      </c>
      <c r="H914" s="375">
        <f t="shared" si="33"/>
        <v>0</v>
      </c>
      <c r="I914" s="376">
        <v>0</v>
      </c>
    </row>
    <row r="915" spans="1:9" x14ac:dyDescent="0.25">
      <c r="A915" s="373">
        <v>153</v>
      </c>
      <c r="B915" s="374">
        <f>NT!C26</f>
        <v>15</v>
      </c>
      <c r="C915" s="374">
        <f>NT!D26</f>
        <v>830</v>
      </c>
      <c r="D915" s="374">
        <v>0</v>
      </c>
      <c r="E915" s="374"/>
      <c r="F915" s="374"/>
      <c r="G915" s="375">
        <f t="shared" si="32"/>
        <v>12.45</v>
      </c>
      <c r="H915" s="375">
        <f t="shared" si="33"/>
        <v>0</v>
      </c>
      <c r="I915" s="376">
        <v>0</v>
      </c>
    </row>
    <row r="916" spans="1:9" x14ac:dyDescent="0.25">
      <c r="A916" s="373">
        <v>153</v>
      </c>
      <c r="B916" s="374">
        <f>NT!C27</f>
        <v>16</v>
      </c>
      <c r="C916" s="374">
        <f>NT!D27</f>
        <v>0</v>
      </c>
      <c r="D916" s="374">
        <v>0</v>
      </c>
      <c r="E916" s="374"/>
      <c r="F916" s="374"/>
      <c r="G916" s="375">
        <f t="shared" si="32"/>
        <v>0</v>
      </c>
      <c r="H916" s="375">
        <f t="shared" si="33"/>
        <v>0</v>
      </c>
      <c r="I916" s="376">
        <v>0</v>
      </c>
    </row>
    <row r="917" spans="1:9" x14ac:dyDescent="0.25">
      <c r="A917" s="373">
        <v>153</v>
      </c>
      <c r="B917" s="374">
        <f>NT!C28</f>
        <v>17</v>
      </c>
      <c r="C917" s="374">
        <f>NT!D28</f>
        <v>16800</v>
      </c>
      <c r="D917" s="374">
        <v>0</v>
      </c>
      <c r="E917" s="374"/>
      <c r="F917" s="374"/>
      <c r="G917" s="375">
        <f t="shared" si="32"/>
        <v>285.60000000000002</v>
      </c>
      <c r="H917" s="375">
        <f t="shared" si="33"/>
        <v>0</v>
      </c>
      <c r="I917" s="376">
        <v>0</v>
      </c>
    </row>
    <row r="918" spans="1:9" x14ac:dyDescent="0.25">
      <c r="A918" s="373">
        <v>153</v>
      </c>
      <c r="B918" s="374">
        <f>NT!C29</f>
        <v>18</v>
      </c>
      <c r="C918" s="374">
        <f>NT!D29</f>
        <v>16800</v>
      </c>
      <c r="D918" s="374">
        <v>0</v>
      </c>
      <c r="E918" s="374"/>
      <c r="F918" s="374"/>
      <c r="G918" s="375">
        <f t="shared" si="32"/>
        <v>302.39999999999998</v>
      </c>
      <c r="H918" s="375">
        <f t="shared" si="33"/>
        <v>0</v>
      </c>
      <c r="I918" s="376">
        <v>0</v>
      </c>
    </row>
    <row r="919" spans="1:9" x14ac:dyDescent="0.25">
      <c r="A919" s="373">
        <v>153</v>
      </c>
      <c r="B919" s="374">
        <f>NT!C30</f>
        <v>19</v>
      </c>
      <c r="C919" s="374">
        <f>NT!D30</f>
        <v>51090</v>
      </c>
      <c r="D919" s="374">
        <v>0</v>
      </c>
      <c r="E919" s="374"/>
      <c r="F919" s="374"/>
      <c r="G919" s="375">
        <f t="shared" si="32"/>
        <v>970.70999999999992</v>
      </c>
      <c r="H919" s="375">
        <f t="shared" si="33"/>
        <v>0</v>
      </c>
      <c r="I919" s="376">
        <v>0</v>
      </c>
    </row>
    <row r="920" spans="1:9" x14ac:dyDescent="0.25">
      <c r="A920" s="373">
        <v>153</v>
      </c>
      <c r="B920" s="374">
        <f>NT!C31</f>
        <v>20</v>
      </c>
      <c r="C920" s="374">
        <f>NT!D31</f>
        <v>0</v>
      </c>
      <c r="D920" s="374">
        <v>0</v>
      </c>
      <c r="E920" s="374"/>
      <c r="F920" s="374"/>
      <c r="G920" s="375">
        <f t="shared" si="32"/>
        <v>0</v>
      </c>
      <c r="H920" s="375">
        <f t="shared" si="33"/>
        <v>0</v>
      </c>
      <c r="I920" s="376">
        <v>0</v>
      </c>
    </row>
    <row r="921" spans="1:9" x14ac:dyDescent="0.25">
      <c r="A921" s="373">
        <v>153</v>
      </c>
      <c r="B921" s="374">
        <f>NT!C32</f>
        <v>21</v>
      </c>
      <c r="C921" s="374">
        <f>NT!D32</f>
        <v>45919</v>
      </c>
      <c r="D921" s="374">
        <v>0</v>
      </c>
      <c r="E921" s="374"/>
      <c r="F921" s="374"/>
      <c r="G921" s="375">
        <f t="shared" si="32"/>
        <v>964.29900000000009</v>
      </c>
      <c r="H921" s="375">
        <f t="shared" si="33"/>
        <v>0</v>
      </c>
      <c r="I921" s="376">
        <v>0</v>
      </c>
    </row>
    <row r="922" spans="1:9" x14ac:dyDescent="0.25">
      <c r="A922" s="373">
        <v>153</v>
      </c>
      <c r="B922" s="374">
        <f>NT!C33</f>
        <v>22</v>
      </c>
      <c r="C922" s="374">
        <f>NT!D33</f>
        <v>5171</v>
      </c>
      <c r="D922" s="374">
        <v>0</v>
      </c>
      <c r="E922" s="374"/>
      <c r="F922" s="374"/>
      <c r="G922" s="375">
        <f t="shared" si="32"/>
        <v>113.762</v>
      </c>
      <c r="H922" s="375">
        <f t="shared" si="33"/>
        <v>0</v>
      </c>
      <c r="I922" s="376">
        <v>0</v>
      </c>
    </row>
    <row r="923" spans="1:9" x14ac:dyDescent="0.25">
      <c r="A923" s="373">
        <v>153</v>
      </c>
      <c r="B923" s="374">
        <f>NT!C34</f>
        <v>23</v>
      </c>
      <c r="C923" s="374">
        <f>NT!D34</f>
        <v>974531</v>
      </c>
      <c r="D923" s="374">
        <v>0</v>
      </c>
      <c r="E923" s="374"/>
      <c r="F923" s="374"/>
      <c r="G923" s="375">
        <f t="shared" si="32"/>
        <v>22414.213</v>
      </c>
      <c r="H923" s="375">
        <f t="shared" si="33"/>
        <v>0</v>
      </c>
      <c r="I923" s="376">
        <v>0</v>
      </c>
    </row>
    <row r="924" spans="1:9" x14ac:dyDescent="0.25">
      <c r="A924" s="373">
        <v>153</v>
      </c>
      <c r="B924" s="374">
        <f>NT!C35</f>
        <v>24</v>
      </c>
      <c r="C924" s="374">
        <f>NT!D35</f>
        <v>58694</v>
      </c>
      <c r="D924" s="374">
        <v>0</v>
      </c>
      <c r="E924" s="374"/>
      <c r="F924" s="374"/>
      <c r="G924" s="375">
        <f t="shared" si="32"/>
        <v>1408.6559999999999</v>
      </c>
      <c r="H924" s="375">
        <f t="shared" si="33"/>
        <v>0</v>
      </c>
      <c r="I924" s="376">
        <v>0</v>
      </c>
    </row>
    <row r="925" spans="1:9" x14ac:dyDescent="0.25">
      <c r="A925" s="373">
        <v>153</v>
      </c>
      <c r="B925" s="374">
        <f>NT!C36</f>
        <v>25</v>
      </c>
      <c r="C925" s="374">
        <f>NT!D36</f>
        <v>1691</v>
      </c>
      <c r="D925" s="374">
        <v>0</v>
      </c>
      <c r="E925" s="374"/>
      <c r="F925" s="374"/>
      <c r="G925" s="375">
        <f t="shared" si="32"/>
        <v>42.275000000000006</v>
      </c>
      <c r="H925" s="375">
        <f t="shared" si="33"/>
        <v>0</v>
      </c>
      <c r="I925" s="376">
        <v>0</v>
      </c>
    </row>
    <row r="926" spans="1:9" x14ac:dyDescent="0.25">
      <c r="A926" s="373">
        <v>153</v>
      </c>
      <c r="B926" s="374">
        <f>NT!C37</f>
        <v>26</v>
      </c>
      <c r="C926" s="374">
        <f>NT!D37</f>
        <v>57003</v>
      </c>
      <c r="D926" s="374">
        <v>0</v>
      </c>
      <c r="E926" s="374"/>
      <c r="F926" s="374"/>
      <c r="G926" s="375">
        <f t="shared" si="32"/>
        <v>1482.078</v>
      </c>
      <c r="H926" s="375">
        <f t="shared" si="33"/>
        <v>0</v>
      </c>
      <c r="I926" s="376">
        <v>0</v>
      </c>
    </row>
    <row r="927" spans="1:9" x14ac:dyDescent="0.25">
      <c r="A927" s="373">
        <v>153</v>
      </c>
      <c r="B927" s="374">
        <f>NT!C38</f>
        <v>27</v>
      </c>
      <c r="C927" s="374">
        <f>NT!D38</f>
        <v>0</v>
      </c>
      <c r="D927" s="374">
        <v>0</v>
      </c>
      <c r="E927" s="374"/>
      <c r="F927" s="374"/>
      <c r="G927" s="375">
        <f t="shared" si="32"/>
        <v>0</v>
      </c>
      <c r="H927" s="375">
        <f t="shared" si="33"/>
        <v>0</v>
      </c>
      <c r="I927" s="376">
        <v>0</v>
      </c>
    </row>
    <row r="928" spans="1:9" x14ac:dyDescent="0.25">
      <c r="A928" s="373">
        <v>153</v>
      </c>
      <c r="B928" s="374">
        <f>NT!C39</f>
        <v>28</v>
      </c>
      <c r="C928" s="374">
        <f>NT!D39</f>
        <v>0</v>
      </c>
      <c r="D928" s="374">
        <v>0</v>
      </c>
      <c r="E928" s="374"/>
      <c r="F928" s="374"/>
      <c r="G928" s="375">
        <f t="shared" si="32"/>
        <v>0</v>
      </c>
      <c r="H928" s="375">
        <f t="shared" si="33"/>
        <v>0</v>
      </c>
      <c r="I928" s="376">
        <v>0</v>
      </c>
    </row>
    <row r="929" spans="1:9" x14ac:dyDescent="0.25">
      <c r="A929" s="373">
        <v>153</v>
      </c>
      <c r="B929" s="374">
        <f>NT!C40</f>
        <v>29</v>
      </c>
      <c r="C929" s="374">
        <f>NT!D40</f>
        <v>250939</v>
      </c>
      <c r="D929" s="374">
        <v>0</v>
      </c>
      <c r="E929" s="374"/>
      <c r="F929" s="374"/>
      <c r="G929" s="375">
        <f t="shared" si="32"/>
        <v>7277.2310000000007</v>
      </c>
      <c r="H929" s="375">
        <f t="shared" si="33"/>
        <v>0</v>
      </c>
      <c r="I929" s="376">
        <v>0</v>
      </c>
    </row>
    <row r="930" spans="1:9" x14ac:dyDescent="0.25">
      <c r="A930" s="373">
        <v>153</v>
      </c>
      <c r="B930" s="374">
        <f>NT!C41</f>
        <v>30</v>
      </c>
      <c r="C930" s="374">
        <f>NT!D41</f>
        <v>11470</v>
      </c>
      <c r="D930" s="374">
        <v>0</v>
      </c>
      <c r="E930" s="374"/>
      <c r="F930" s="374"/>
      <c r="G930" s="375">
        <f t="shared" si="32"/>
        <v>344.09999999999997</v>
      </c>
      <c r="H930" s="375">
        <f t="shared" si="33"/>
        <v>0</v>
      </c>
      <c r="I930" s="376">
        <v>0</v>
      </c>
    </row>
    <row r="931" spans="1:9" x14ac:dyDescent="0.25">
      <c r="A931" s="373">
        <v>153</v>
      </c>
      <c r="B931" s="374">
        <f>NT!C42</f>
        <v>31</v>
      </c>
      <c r="C931" s="374">
        <f>NT!D42</f>
        <v>0</v>
      </c>
      <c r="D931" s="374">
        <v>0</v>
      </c>
      <c r="E931" s="374"/>
      <c r="F931" s="374"/>
      <c r="G931" s="375">
        <f t="shared" si="32"/>
        <v>0</v>
      </c>
      <c r="H931" s="375">
        <f t="shared" si="33"/>
        <v>0</v>
      </c>
      <c r="I931" s="376">
        <v>0</v>
      </c>
    </row>
    <row r="932" spans="1:9" x14ac:dyDescent="0.25">
      <c r="A932" s="373">
        <v>153</v>
      </c>
      <c r="B932" s="374">
        <f>NT!C43</f>
        <v>32</v>
      </c>
      <c r="C932" s="374">
        <f>NT!D43</f>
        <v>202914</v>
      </c>
      <c r="D932" s="374">
        <v>0</v>
      </c>
      <c r="E932" s="374"/>
      <c r="F932" s="374"/>
      <c r="G932" s="375">
        <f t="shared" si="32"/>
        <v>6493.2480000000005</v>
      </c>
      <c r="H932" s="375">
        <f t="shared" si="33"/>
        <v>0</v>
      </c>
      <c r="I932" s="376">
        <v>0</v>
      </c>
    </row>
    <row r="933" spans="1:9" x14ac:dyDescent="0.25">
      <c r="A933" s="373">
        <v>153</v>
      </c>
      <c r="B933" s="374">
        <f>NT!C44</f>
        <v>33</v>
      </c>
      <c r="C933" s="374">
        <f>NT!D44</f>
        <v>34423</v>
      </c>
      <c r="D933" s="374">
        <v>0</v>
      </c>
      <c r="E933" s="374"/>
      <c r="F933" s="374"/>
      <c r="G933" s="375">
        <f t="shared" si="32"/>
        <v>1135.9590000000001</v>
      </c>
      <c r="H933" s="375">
        <f t="shared" si="33"/>
        <v>0</v>
      </c>
      <c r="I933" s="376">
        <v>0</v>
      </c>
    </row>
    <row r="934" spans="1:9" x14ac:dyDescent="0.25">
      <c r="A934" s="373">
        <v>153</v>
      </c>
      <c r="B934" s="374">
        <f>NT!C45</f>
        <v>34</v>
      </c>
      <c r="C934" s="374">
        <f>NT!D45</f>
        <v>2132</v>
      </c>
      <c r="D934" s="374">
        <v>0</v>
      </c>
      <c r="E934" s="374"/>
      <c r="F934" s="374"/>
      <c r="G934" s="375">
        <f t="shared" si="32"/>
        <v>72.488</v>
      </c>
      <c r="H934" s="375">
        <f t="shared" si="33"/>
        <v>0</v>
      </c>
      <c r="I934" s="376">
        <v>0</v>
      </c>
    </row>
    <row r="935" spans="1:9" x14ac:dyDescent="0.25">
      <c r="A935" s="373">
        <v>153</v>
      </c>
      <c r="B935" s="374">
        <f>NT!C46</f>
        <v>35</v>
      </c>
      <c r="C935" s="374">
        <f>NT!D46</f>
        <v>0</v>
      </c>
      <c r="D935" s="374">
        <v>0</v>
      </c>
      <c r="E935" s="374"/>
      <c r="F935" s="374"/>
      <c r="G935" s="375">
        <f t="shared" si="32"/>
        <v>0</v>
      </c>
      <c r="H935" s="375">
        <f t="shared" si="33"/>
        <v>0</v>
      </c>
      <c r="I935" s="376">
        <v>0</v>
      </c>
    </row>
    <row r="936" spans="1:9" x14ac:dyDescent="0.25">
      <c r="A936" s="373">
        <v>153</v>
      </c>
      <c r="B936" s="374">
        <f>NT!C47</f>
        <v>36</v>
      </c>
      <c r="C936" s="374">
        <f>NT!D47</f>
        <v>0</v>
      </c>
      <c r="D936" s="374">
        <v>0</v>
      </c>
      <c r="E936" s="374"/>
      <c r="F936" s="374"/>
      <c r="G936" s="375">
        <f t="shared" si="32"/>
        <v>0</v>
      </c>
      <c r="H936" s="375">
        <f t="shared" si="33"/>
        <v>0</v>
      </c>
      <c r="I936" s="376">
        <v>0</v>
      </c>
    </row>
    <row r="937" spans="1:9" x14ac:dyDescent="0.25">
      <c r="A937" s="373">
        <v>153</v>
      </c>
      <c r="B937" s="374">
        <f>NT!C48</f>
        <v>37</v>
      </c>
      <c r="C937" s="374">
        <f>NT!D48</f>
        <v>455840</v>
      </c>
      <c r="D937" s="374">
        <v>0</v>
      </c>
      <c r="E937" s="374"/>
      <c r="F937" s="374"/>
      <c r="G937" s="375">
        <f t="shared" si="32"/>
        <v>16866.079999999998</v>
      </c>
      <c r="H937" s="375">
        <f t="shared" si="33"/>
        <v>0</v>
      </c>
      <c r="I937" s="376">
        <v>0</v>
      </c>
    </row>
    <row r="938" spans="1:9" x14ac:dyDescent="0.25">
      <c r="A938" s="373">
        <v>153</v>
      </c>
      <c r="B938" s="374">
        <f>NT!C49</f>
        <v>38</v>
      </c>
      <c r="C938" s="374">
        <f>NT!D49</f>
        <v>11882</v>
      </c>
      <c r="D938" s="374">
        <v>0</v>
      </c>
      <c r="E938" s="374"/>
      <c r="F938" s="374"/>
      <c r="G938" s="375">
        <f t="shared" si="32"/>
        <v>451.51599999999996</v>
      </c>
      <c r="H938" s="375">
        <f t="shared" si="33"/>
        <v>0</v>
      </c>
      <c r="I938" s="376">
        <v>0</v>
      </c>
    </row>
    <row r="939" spans="1:9" x14ac:dyDescent="0.25">
      <c r="A939" s="373">
        <v>153</v>
      </c>
      <c r="B939" s="374">
        <f>NT!C50</f>
        <v>39</v>
      </c>
      <c r="C939" s="374">
        <f>NT!D50</f>
        <v>343257</v>
      </c>
      <c r="D939" s="374">
        <v>0</v>
      </c>
      <c r="E939" s="374"/>
      <c r="F939" s="374"/>
      <c r="G939" s="375">
        <f t="shared" si="32"/>
        <v>13387.022999999999</v>
      </c>
      <c r="H939" s="375">
        <f t="shared" si="33"/>
        <v>0</v>
      </c>
      <c r="I939" s="376">
        <v>0</v>
      </c>
    </row>
    <row r="940" spans="1:9" x14ac:dyDescent="0.25">
      <c r="A940" s="373">
        <v>153</v>
      </c>
      <c r="B940" s="374">
        <f>NT!C51</f>
        <v>40</v>
      </c>
      <c r="C940" s="374">
        <f>NT!D51</f>
        <v>4188</v>
      </c>
      <c r="D940" s="374">
        <v>0</v>
      </c>
      <c r="E940" s="374"/>
      <c r="F940" s="374"/>
      <c r="G940" s="375">
        <f t="shared" si="32"/>
        <v>167.52</v>
      </c>
      <c r="H940" s="375">
        <f t="shared" si="33"/>
        <v>0</v>
      </c>
      <c r="I940" s="376">
        <v>0</v>
      </c>
    </row>
    <row r="941" spans="1:9" x14ac:dyDescent="0.25">
      <c r="A941" s="373">
        <v>153</v>
      </c>
      <c r="B941" s="374">
        <f>NT!C52</f>
        <v>41</v>
      </c>
      <c r="C941" s="374">
        <f>NT!D52</f>
        <v>29839</v>
      </c>
      <c r="D941" s="374">
        <v>0</v>
      </c>
      <c r="E941" s="374"/>
      <c r="F941" s="374"/>
      <c r="G941" s="375">
        <f t="shared" si="32"/>
        <v>1223.3990000000001</v>
      </c>
      <c r="H941" s="375">
        <f t="shared" si="33"/>
        <v>0</v>
      </c>
      <c r="I941" s="376">
        <v>0</v>
      </c>
    </row>
    <row r="942" spans="1:9" x14ac:dyDescent="0.25">
      <c r="A942" s="373">
        <v>153</v>
      </c>
      <c r="B942" s="374">
        <f>NT!C53</f>
        <v>42</v>
      </c>
      <c r="C942" s="374">
        <f>NT!D53</f>
        <v>0</v>
      </c>
      <c r="D942" s="374">
        <v>0</v>
      </c>
      <c r="E942" s="374"/>
      <c r="F942" s="374"/>
      <c r="G942" s="375">
        <f t="shared" si="32"/>
        <v>0</v>
      </c>
      <c r="H942" s="375">
        <f t="shared" si="33"/>
        <v>0</v>
      </c>
      <c r="I942" s="376">
        <v>0</v>
      </c>
    </row>
    <row r="943" spans="1:9" x14ac:dyDescent="0.25">
      <c r="A943" s="373">
        <v>153</v>
      </c>
      <c r="B943" s="374">
        <f>NT!C54</f>
        <v>43</v>
      </c>
      <c r="C943" s="374">
        <f>NT!D54</f>
        <v>31028</v>
      </c>
      <c r="D943" s="374">
        <v>0</v>
      </c>
      <c r="E943" s="374"/>
      <c r="F943" s="374"/>
      <c r="G943" s="375">
        <f t="shared" si="32"/>
        <v>1334.204</v>
      </c>
      <c r="H943" s="375">
        <f t="shared" si="33"/>
        <v>0</v>
      </c>
      <c r="I943" s="376">
        <v>0</v>
      </c>
    </row>
    <row r="944" spans="1:9" x14ac:dyDescent="0.25">
      <c r="A944" s="373">
        <v>153</v>
      </c>
      <c r="B944" s="374">
        <f>NT!C55</f>
        <v>44</v>
      </c>
      <c r="C944" s="374">
        <f>NT!D55</f>
        <v>35646</v>
      </c>
      <c r="D944" s="374">
        <v>0</v>
      </c>
      <c r="E944" s="374"/>
      <c r="F944" s="374"/>
      <c r="G944" s="375">
        <f t="shared" si="32"/>
        <v>1568.424</v>
      </c>
      <c r="H944" s="375">
        <f t="shared" si="33"/>
        <v>0</v>
      </c>
      <c r="I944" s="376">
        <v>0</v>
      </c>
    </row>
    <row r="945" spans="1:9" x14ac:dyDescent="0.25">
      <c r="A945" s="373">
        <v>153</v>
      </c>
      <c r="B945" s="374">
        <f>NT!C56</f>
        <v>45</v>
      </c>
      <c r="C945" s="374">
        <f>NT!D56</f>
        <v>0</v>
      </c>
      <c r="D945" s="374">
        <v>0</v>
      </c>
      <c r="E945" s="374"/>
      <c r="F945" s="374"/>
      <c r="G945" s="375">
        <f t="shared" si="32"/>
        <v>0</v>
      </c>
      <c r="H945" s="375">
        <f t="shared" si="33"/>
        <v>0</v>
      </c>
      <c r="I945" s="376">
        <v>0</v>
      </c>
    </row>
    <row r="946" spans="1:9" x14ac:dyDescent="0.25">
      <c r="A946" s="373">
        <v>153</v>
      </c>
      <c r="B946" s="374">
        <f>NT!C57</f>
        <v>46</v>
      </c>
      <c r="C946" s="374">
        <f>NT!D57</f>
        <v>0</v>
      </c>
      <c r="D946" s="374">
        <v>0</v>
      </c>
      <c r="E946" s="374"/>
      <c r="F946" s="374"/>
      <c r="G946" s="375">
        <f t="shared" si="32"/>
        <v>0</v>
      </c>
      <c r="H946" s="375">
        <f t="shared" si="33"/>
        <v>0</v>
      </c>
      <c r="I946" s="376">
        <v>0</v>
      </c>
    </row>
    <row r="947" spans="1:9" x14ac:dyDescent="0.25">
      <c r="A947" s="373">
        <v>153</v>
      </c>
      <c r="B947" s="374">
        <f>NT!C58</f>
        <v>47</v>
      </c>
      <c r="C947" s="374">
        <f>NT!D58</f>
        <v>0</v>
      </c>
      <c r="D947" s="374">
        <v>0</v>
      </c>
      <c r="E947" s="374"/>
      <c r="F947" s="374"/>
      <c r="G947" s="375">
        <f t="shared" si="32"/>
        <v>0</v>
      </c>
      <c r="H947" s="375">
        <f t="shared" si="33"/>
        <v>0</v>
      </c>
      <c r="I947" s="376">
        <v>0</v>
      </c>
    </row>
    <row r="948" spans="1:9" x14ac:dyDescent="0.25">
      <c r="A948" s="373">
        <v>153</v>
      </c>
      <c r="B948" s="374">
        <f>NT!C59</f>
        <v>48</v>
      </c>
      <c r="C948" s="374">
        <f>NT!D59</f>
        <v>0</v>
      </c>
      <c r="D948" s="374">
        <v>0</v>
      </c>
      <c r="E948" s="374"/>
      <c r="F948" s="374"/>
      <c r="G948" s="375">
        <f t="shared" si="32"/>
        <v>0</v>
      </c>
      <c r="H948" s="375">
        <f t="shared" si="33"/>
        <v>0</v>
      </c>
      <c r="I948" s="376">
        <v>0</v>
      </c>
    </row>
    <row r="949" spans="1:9" x14ac:dyDescent="0.25">
      <c r="A949" s="373">
        <v>153</v>
      </c>
      <c r="B949" s="374">
        <f>NT!C60</f>
        <v>49</v>
      </c>
      <c r="C949" s="374">
        <f>NT!D60</f>
        <v>209058</v>
      </c>
      <c r="D949" s="374">
        <v>0</v>
      </c>
      <c r="E949" s="374"/>
      <c r="F949" s="374"/>
      <c r="G949" s="375">
        <f t="shared" si="32"/>
        <v>10243.842000000001</v>
      </c>
      <c r="H949" s="375">
        <f t="shared" si="33"/>
        <v>0</v>
      </c>
      <c r="I949" s="376">
        <v>0</v>
      </c>
    </row>
    <row r="950" spans="1:9" x14ac:dyDescent="0.25">
      <c r="A950" s="373">
        <v>153</v>
      </c>
      <c r="B950" s="374">
        <f>NT!C61</f>
        <v>50</v>
      </c>
      <c r="C950" s="374">
        <f>NT!D61</f>
        <v>177665</v>
      </c>
      <c r="D950" s="374">
        <v>0</v>
      </c>
      <c r="E950" s="374"/>
      <c r="F950" s="374"/>
      <c r="G950" s="375">
        <f t="shared" si="32"/>
        <v>8883.25</v>
      </c>
      <c r="H950" s="375">
        <f t="shared" si="33"/>
        <v>0</v>
      </c>
      <c r="I950" s="376">
        <v>0</v>
      </c>
    </row>
    <row r="951" spans="1:9" x14ac:dyDescent="0.25">
      <c r="A951" s="373">
        <v>153</v>
      </c>
      <c r="B951" s="374">
        <f>NT!C62</f>
        <v>51</v>
      </c>
      <c r="C951" s="374">
        <f>NT!D62</f>
        <v>0</v>
      </c>
      <c r="D951" s="374">
        <v>0</v>
      </c>
      <c r="E951" s="374"/>
      <c r="F951" s="374"/>
      <c r="G951" s="375">
        <f t="shared" si="32"/>
        <v>0</v>
      </c>
      <c r="H951" s="375">
        <f t="shared" si="33"/>
        <v>0</v>
      </c>
      <c r="I951" s="376">
        <v>0</v>
      </c>
    </row>
    <row r="952" spans="1:9" x14ac:dyDescent="0.25">
      <c r="A952" s="373">
        <v>153</v>
      </c>
      <c r="B952" s="374">
        <f>NT!C63</f>
        <v>52</v>
      </c>
      <c r="C952" s="374">
        <f>NT!D63</f>
        <v>14518</v>
      </c>
      <c r="D952" s="374">
        <v>0</v>
      </c>
      <c r="E952" s="374"/>
      <c r="F952" s="374"/>
      <c r="G952" s="375">
        <f t="shared" si="32"/>
        <v>754.93599999999992</v>
      </c>
      <c r="H952" s="375">
        <f t="shared" si="33"/>
        <v>0</v>
      </c>
      <c r="I952" s="376">
        <v>0</v>
      </c>
    </row>
    <row r="953" spans="1:9" x14ac:dyDescent="0.25">
      <c r="A953" s="373">
        <v>153</v>
      </c>
      <c r="B953" s="374">
        <f>NT!C64</f>
        <v>53</v>
      </c>
      <c r="C953" s="374">
        <f>NT!D64</f>
        <v>2000</v>
      </c>
      <c r="D953" s="374">
        <v>0</v>
      </c>
      <c r="E953" s="374"/>
      <c r="F953" s="374"/>
      <c r="G953" s="375">
        <f t="shared" si="32"/>
        <v>106</v>
      </c>
      <c r="H953" s="375">
        <f t="shared" si="33"/>
        <v>0</v>
      </c>
      <c r="I953" s="376">
        <v>0</v>
      </c>
    </row>
    <row r="954" spans="1:9" x14ac:dyDescent="0.25">
      <c r="A954" s="373">
        <v>153</v>
      </c>
      <c r="B954" s="374">
        <f>NT!C65</f>
        <v>54</v>
      </c>
      <c r="C954" s="374">
        <f>NT!D65</f>
        <v>0</v>
      </c>
      <c r="D954" s="374">
        <v>0</v>
      </c>
      <c r="E954" s="374"/>
      <c r="F954" s="374"/>
      <c r="G954" s="375">
        <f t="shared" si="32"/>
        <v>0</v>
      </c>
      <c r="H954" s="375">
        <f t="shared" si="33"/>
        <v>0</v>
      </c>
      <c r="I954" s="376">
        <v>0</v>
      </c>
    </row>
    <row r="955" spans="1:9" x14ac:dyDescent="0.25">
      <c r="A955" s="373">
        <v>153</v>
      </c>
      <c r="B955" s="374">
        <f>NT!C66</f>
        <v>55</v>
      </c>
      <c r="C955" s="374">
        <f>NT!D66</f>
        <v>14875</v>
      </c>
      <c r="D955" s="374">
        <v>0</v>
      </c>
      <c r="E955" s="374"/>
      <c r="F955" s="374"/>
      <c r="G955" s="375">
        <f t="shared" si="32"/>
        <v>818.125</v>
      </c>
      <c r="H955" s="375">
        <f t="shared" si="33"/>
        <v>0</v>
      </c>
      <c r="I955" s="376">
        <v>0</v>
      </c>
    </row>
    <row r="956" spans="1:9" x14ac:dyDescent="0.25">
      <c r="A956" s="373">
        <v>153</v>
      </c>
      <c r="B956" s="374">
        <f>NT!C67</f>
        <v>56</v>
      </c>
      <c r="C956" s="374">
        <f>NT!D67</f>
        <v>14996</v>
      </c>
      <c r="D956" s="374">
        <v>0</v>
      </c>
      <c r="E956" s="374"/>
      <c r="F956" s="374"/>
      <c r="G956" s="375">
        <f t="shared" si="32"/>
        <v>839.77600000000007</v>
      </c>
      <c r="H956" s="375">
        <f t="shared" si="33"/>
        <v>0</v>
      </c>
      <c r="I956" s="376">
        <v>0</v>
      </c>
    </row>
    <row r="957" spans="1:9" x14ac:dyDescent="0.25">
      <c r="A957" s="373">
        <v>153</v>
      </c>
      <c r="B957" s="374">
        <f>NT!C68</f>
        <v>57</v>
      </c>
      <c r="C957" s="374">
        <f>NT!D68</f>
        <v>0</v>
      </c>
      <c r="D957" s="374">
        <v>0</v>
      </c>
      <c r="E957" s="374"/>
      <c r="F957" s="374"/>
      <c r="G957" s="375">
        <f t="shared" si="32"/>
        <v>0</v>
      </c>
      <c r="H957" s="375">
        <f t="shared" si="33"/>
        <v>0</v>
      </c>
      <c r="I957" s="376">
        <v>0</v>
      </c>
    </row>
    <row r="958" spans="1:9" x14ac:dyDescent="0.25">
      <c r="A958" s="373">
        <v>153</v>
      </c>
      <c r="B958" s="374">
        <f>NT!C69</f>
        <v>58</v>
      </c>
      <c r="C958" s="374">
        <f>NT!D69</f>
        <v>0</v>
      </c>
      <c r="D958" s="374">
        <v>0</v>
      </c>
      <c r="E958" s="374"/>
      <c r="F958" s="374"/>
      <c r="G958" s="375">
        <f t="shared" si="32"/>
        <v>0</v>
      </c>
      <c r="H958" s="375">
        <f t="shared" si="33"/>
        <v>0</v>
      </c>
      <c r="I958" s="376">
        <v>0</v>
      </c>
    </row>
    <row r="959" spans="1:9" x14ac:dyDescent="0.25">
      <c r="A959" s="373">
        <v>153</v>
      </c>
      <c r="B959" s="374">
        <f>NT!C70</f>
        <v>59</v>
      </c>
      <c r="C959" s="374">
        <f>NT!D70</f>
        <v>0</v>
      </c>
      <c r="D959" s="374">
        <v>0</v>
      </c>
      <c r="E959" s="374"/>
      <c r="F959" s="374"/>
      <c r="G959" s="375">
        <f t="shared" si="32"/>
        <v>0</v>
      </c>
      <c r="H959" s="375">
        <f t="shared" si="33"/>
        <v>0</v>
      </c>
      <c r="I959" s="376">
        <v>0</v>
      </c>
    </row>
    <row r="960" spans="1:9" x14ac:dyDescent="0.25">
      <c r="A960" s="373">
        <v>153</v>
      </c>
      <c r="B960" s="374">
        <f>NT!C71</f>
        <v>60</v>
      </c>
      <c r="C960" s="374">
        <f>NT!D71</f>
        <v>0</v>
      </c>
      <c r="D960" s="374">
        <v>0</v>
      </c>
      <c r="E960" s="374"/>
      <c r="F960" s="374"/>
      <c r="G960" s="375">
        <f t="shared" si="32"/>
        <v>0</v>
      </c>
      <c r="H960" s="375">
        <f t="shared" si="33"/>
        <v>0</v>
      </c>
      <c r="I960" s="376">
        <v>0</v>
      </c>
    </row>
    <row r="961" spans="1:9" x14ac:dyDescent="0.25">
      <c r="A961" s="373">
        <v>153</v>
      </c>
      <c r="B961" s="374">
        <f>NT!C72</f>
        <v>61</v>
      </c>
      <c r="C961" s="374">
        <f>NT!D72</f>
        <v>0</v>
      </c>
      <c r="D961" s="374">
        <v>0</v>
      </c>
      <c r="E961" s="374"/>
      <c r="F961" s="374"/>
      <c r="G961" s="375">
        <f t="shared" si="32"/>
        <v>0</v>
      </c>
      <c r="H961" s="375">
        <f t="shared" si="33"/>
        <v>0</v>
      </c>
      <c r="I961" s="376">
        <v>0</v>
      </c>
    </row>
    <row r="962" spans="1:9" x14ac:dyDescent="0.25">
      <c r="A962" s="373">
        <v>153</v>
      </c>
      <c r="B962" s="374">
        <f>NT!C73</f>
        <v>62</v>
      </c>
      <c r="C962" s="374">
        <f>NT!D73</f>
        <v>0</v>
      </c>
      <c r="D962" s="374">
        <v>0</v>
      </c>
      <c r="E962" s="374"/>
      <c r="F962" s="374"/>
      <c r="G962" s="375">
        <f t="shared" si="32"/>
        <v>0</v>
      </c>
      <c r="H962" s="375">
        <f t="shared" si="33"/>
        <v>0</v>
      </c>
      <c r="I962" s="376">
        <v>0</v>
      </c>
    </row>
    <row r="963" spans="1:9" x14ac:dyDescent="0.25">
      <c r="A963" s="373">
        <v>153</v>
      </c>
      <c r="B963" s="374">
        <f>NT!C74</f>
        <v>63</v>
      </c>
      <c r="C963" s="374">
        <f>NT!D74</f>
        <v>0</v>
      </c>
      <c r="D963" s="374">
        <v>0</v>
      </c>
      <c r="E963" s="374"/>
      <c r="F963" s="374"/>
      <c r="G963" s="375">
        <f t="shared" si="32"/>
        <v>0</v>
      </c>
      <c r="H963" s="375">
        <f t="shared" si="33"/>
        <v>0</v>
      </c>
      <c r="I963" s="376">
        <v>0</v>
      </c>
    </row>
    <row r="964" spans="1:9" x14ac:dyDescent="0.25">
      <c r="A964" s="373">
        <v>153</v>
      </c>
      <c r="B964" s="374">
        <f>NT!C75</f>
        <v>64</v>
      </c>
      <c r="C964" s="374">
        <f>NT!D75</f>
        <v>0</v>
      </c>
      <c r="D964" s="374">
        <v>0</v>
      </c>
      <c r="E964" s="374"/>
      <c r="F964" s="374"/>
      <c r="G964" s="375">
        <f t="shared" si="32"/>
        <v>0</v>
      </c>
      <c r="H964" s="375">
        <f t="shared" si="33"/>
        <v>0</v>
      </c>
      <c r="I964" s="376">
        <v>0</v>
      </c>
    </row>
    <row r="965" spans="1:9" x14ac:dyDescent="0.25">
      <c r="A965" s="373">
        <v>153</v>
      </c>
      <c r="B965" s="374">
        <f>NT!C76</f>
        <v>65</v>
      </c>
      <c r="C965" s="374">
        <f>NT!D76</f>
        <v>0</v>
      </c>
      <c r="D965" s="374">
        <v>0</v>
      </c>
      <c r="E965" s="374"/>
      <c r="F965" s="374"/>
      <c r="G965" s="375">
        <f t="shared" si="32"/>
        <v>0</v>
      </c>
      <c r="H965" s="375">
        <f t="shared" si="33"/>
        <v>0</v>
      </c>
      <c r="I965" s="376">
        <v>0</v>
      </c>
    </row>
    <row r="966" spans="1:9" x14ac:dyDescent="0.25">
      <c r="A966" s="373">
        <v>153</v>
      </c>
      <c r="B966" s="374">
        <f>NT!C77</f>
        <v>66</v>
      </c>
      <c r="C966" s="374">
        <f>NT!D77</f>
        <v>0</v>
      </c>
      <c r="D966" s="374">
        <v>0</v>
      </c>
      <c r="E966" s="374"/>
      <c r="F966" s="374"/>
      <c r="G966" s="375">
        <f t="shared" si="32"/>
        <v>0</v>
      </c>
      <c r="H966" s="375">
        <f t="shared" si="33"/>
        <v>0</v>
      </c>
      <c r="I966" s="376">
        <v>0</v>
      </c>
    </row>
    <row r="967" spans="1:9" x14ac:dyDescent="0.25">
      <c r="A967" s="373">
        <v>153</v>
      </c>
      <c r="B967" s="374">
        <f>NT!C78</f>
        <v>67</v>
      </c>
      <c r="C967" s="374">
        <f>NT!D78</f>
        <v>0</v>
      </c>
      <c r="D967" s="374">
        <v>0</v>
      </c>
      <c r="E967" s="374"/>
      <c r="F967" s="374"/>
      <c r="G967" s="375">
        <f t="shared" si="32"/>
        <v>0</v>
      </c>
      <c r="H967" s="375">
        <f t="shared" si="33"/>
        <v>0</v>
      </c>
      <c r="I967" s="376">
        <v>0</v>
      </c>
    </row>
    <row r="968" spans="1:9" x14ac:dyDescent="0.25">
      <c r="A968" s="373">
        <v>153</v>
      </c>
      <c r="B968" s="374">
        <f>NT!C79</f>
        <v>68</v>
      </c>
      <c r="C968" s="374">
        <f>NT!D79</f>
        <v>0</v>
      </c>
      <c r="D968" s="374">
        <v>0</v>
      </c>
      <c r="E968" s="374"/>
      <c r="F968" s="374"/>
      <c r="G968" s="375">
        <f t="shared" si="32"/>
        <v>0</v>
      </c>
      <c r="H968" s="375">
        <f t="shared" si="33"/>
        <v>0</v>
      </c>
      <c r="I968" s="376">
        <v>0</v>
      </c>
    </row>
    <row r="969" spans="1:9" x14ac:dyDescent="0.25">
      <c r="A969" s="373">
        <v>153</v>
      </c>
      <c r="B969" s="374">
        <f>NT!C80</f>
        <v>69</v>
      </c>
      <c r="C969" s="374">
        <f>NT!D80</f>
        <v>0</v>
      </c>
      <c r="D969" s="374">
        <v>0</v>
      </c>
      <c r="E969" s="374"/>
      <c r="F969" s="374"/>
      <c r="G969" s="375">
        <f t="shared" si="32"/>
        <v>0</v>
      </c>
      <c r="H969" s="375">
        <f t="shared" si="33"/>
        <v>0</v>
      </c>
      <c r="I969" s="376">
        <v>0</v>
      </c>
    </row>
    <row r="970" spans="1:9" x14ac:dyDescent="0.25">
      <c r="A970" s="373">
        <v>153</v>
      </c>
      <c r="B970" s="374">
        <f>NT!C81</f>
        <v>70</v>
      </c>
      <c r="C970" s="374">
        <f>NT!D81</f>
        <v>14996</v>
      </c>
      <c r="D970" s="374">
        <v>0</v>
      </c>
      <c r="E970" s="374"/>
      <c r="F970" s="374"/>
      <c r="G970" s="375">
        <f t="shared" si="32"/>
        <v>1049.72</v>
      </c>
      <c r="H970" s="375">
        <f t="shared" si="33"/>
        <v>0</v>
      </c>
      <c r="I970" s="376">
        <v>0</v>
      </c>
    </row>
    <row r="971" spans="1:9" x14ac:dyDescent="0.25">
      <c r="A971" s="373">
        <v>153</v>
      </c>
      <c r="B971" s="374">
        <f>NT!C82</f>
        <v>71</v>
      </c>
      <c r="C971" s="374">
        <f>NT!D82</f>
        <v>8840</v>
      </c>
      <c r="D971" s="374">
        <v>0</v>
      </c>
      <c r="E971" s="374"/>
      <c r="F971" s="374"/>
      <c r="G971" s="375">
        <f t="shared" si="32"/>
        <v>627.64</v>
      </c>
      <c r="H971" s="375">
        <f t="shared" si="33"/>
        <v>0</v>
      </c>
      <c r="I971" s="376">
        <v>0</v>
      </c>
    </row>
    <row r="972" spans="1:9" x14ac:dyDescent="0.25">
      <c r="A972" s="373">
        <v>153</v>
      </c>
      <c r="B972" s="374">
        <f>NT!C83</f>
        <v>72</v>
      </c>
      <c r="C972" s="374">
        <f>NT!D83</f>
        <v>0</v>
      </c>
      <c r="D972" s="374">
        <v>0</v>
      </c>
      <c r="E972" s="374"/>
      <c r="F972" s="374"/>
      <c r="G972" s="375">
        <f t="shared" si="32"/>
        <v>0</v>
      </c>
      <c r="H972" s="375">
        <f t="shared" si="33"/>
        <v>0</v>
      </c>
      <c r="I972" s="376">
        <v>0</v>
      </c>
    </row>
    <row r="973" spans="1:9" x14ac:dyDescent="0.25">
      <c r="A973" s="373">
        <v>153</v>
      </c>
      <c r="B973" s="374">
        <f>NT!C84</f>
        <v>73</v>
      </c>
      <c r="C973" s="374">
        <f>NT!D84</f>
        <v>27</v>
      </c>
      <c r="D973" s="374">
        <v>0</v>
      </c>
      <c r="E973" s="374"/>
      <c r="F973" s="374"/>
      <c r="G973" s="375">
        <f t="shared" si="32"/>
        <v>1.9709999999999999</v>
      </c>
      <c r="H973" s="375">
        <f t="shared" si="33"/>
        <v>0</v>
      </c>
      <c r="I973" s="376">
        <v>0</v>
      </c>
    </row>
    <row r="974" spans="1:9" x14ac:dyDescent="0.25">
      <c r="A974" s="373">
        <v>153</v>
      </c>
      <c r="B974" s="374">
        <f>NT!C85</f>
        <v>74</v>
      </c>
      <c r="C974" s="374">
        <f>NT!D85</f>
        <v>6129</v>
      </c>
      <c r="D974" s="374">
        <v>0</v>
      </c>
      <c r="E974" s="374"/>
      <c r="F974" s="374"/>
      <c r="G974" s="375">
        <f t="shared" si="32"/>
        <v>453.54599999999999</v>
      </c>
      <c r="H974" s="375">
        <f t="shared" si="33"/>
        <v>0</v>
      </c>
      <c r="I974" s="376">
        <v>0</v>
      </c>
    </row>
    <row r="975" spans="1:9" x14ac:dyDescent="0.25">
      <c r="A975" s="373">
        <v>153</v>
      </c>
      <c r="B975" s="374">
        <f>NT!C86</f>
        <v>75</v>
      </c>
      <c r="C975" s="374">
        <f>NT!D86</f>
        <v>205133</v>
      </c>
      <c r="D975" s="374">
        <v>0</v>
      </c>
      <c r="E975" s="374"/>
      <c r="F975" s="374"/>
      <c r="G975" s="375">
        <f t="shared" si="32"/>
        <v>15384.974999999999</v>
      </c>
      <c r="H975" s="375">
        <f t="shared" si="33"/>
        <v>0</v>
      </c>
      <c r="I975" s="376">
        <v>0</v>
      </c>
    </row>
    <row r="976" spans="1:9" x14ac:dyDescent="0.25">
      <c r="A976" s="373">
        <v>153</v>
      </c>
      <c r="B976" s="374">
        <f>NT!C87</f>
        <v>76</v>
      </c>
      <c r="C976" s="374">
        <f>NT!D87</f>
        <v>0</v>
      </c>
      <c r="D976" s="374">
        <v>0</v>
      </c>
      <c r="E976" s="374"/>
      <c r="F976" s="374"/>
      <c r="G976" s="375">
        <f t="shared" ref="G976:G1039" si="34">B976/1000*C976</f>
        <v>0</v>
      </c>
      <c r="H976" s="375">
        <f t="shared" ref="H976:H1039" si="35">ABS(C976-ROUND(C976,0))</f>
        <v>0</v>
      </c>
      <c r="I976" s="376">
        <v>0</v>
      </c>
    </row>
    <row r="977" spans="1:9" x14ac:dyDescent="0.25">
      <c r="A977" s="373">
        <v>153</v>
      </c>
      <c r="B977" s="374">
        <f>NT!C88</f>
        <v>77</v>
      </c>
      <c r="C977" s="374">
        <f>NT!D88</f>
        <v>0</v>
      </c>
      <c r="D977" s="374">
        <v>0</v>
      </c>
      <c r="E977" s="374"/>
      <c r="F977" s="374"/>
      <c r="G977" s="375">
        <f t="shared" si="34"/>
        <v>0</v>
      </c>
      <c r="H977" s="375">
        <f t="shared" si="35"/>
        <v>0</v>
      </c>
      <c r="I977" s="376">
        <v>0</v>
      </c>
    </row>
    <row r="978" spans="1:9" x14ac:dyDescent="0.25">
      <c r="A978" s="373">
        <v>153</v>
      </c>
      <c r="B978" s="374">
        <f>NT!C89</f>
        <v>78</v>
      </c>
      <c r="C978" s="374">
        <f>NT!D89</f>
        <v>0</v>
      </c>
      <c r="D978" s="374">
        <v>0</v>
      </c>
      <c r="E978" s="374"/>
      <c r="F978" s="374"/>
      <c r="G978" s="375">
        <f t="shared" si="34"/>
        <v>0</v>
      </c>
      <c r="H978" s="375">
        <f t="shared" si="35"/>
        <v>0</v>
      </c>
      <c r="I978" s="376">
        <v>0</v>
      </c>
    </row>
    <row r="979" spans="1:9" x14ac:dyDescent="0.25">
      <c r="A979" s="373">
        <v>153</v>
      </c>
      <c r="B979" s="374">
        <f>NT!C90</f>
        <v>79</v>
      </c>
      <c r="C979" s="374">
        <f>NT!D90</f>
        <v>205133</v>
      </c>
      <c r="D979" s="374">
        <v>0</v>
      </c>
      <c r="E979" s="374"/>
      <c r="F979" s="374"/>
      <c r="G979" s="375">
        <f t="shared" si="34"/>
        <v>16205.507</v>
      </c>
      <c r="H979" s="375">
        <f t="shared" si="35"/>
        <v>0</v>
      </c>
      <c r="I979" s="376">
        <v>0</v>
      </c>
    </row>
    <row r="980" spans="1:9" x14ac:dyDescent="0.25">
      <c r="A980" s="373">
        <v>153</v>
      </c>
      <c r="B980" s="374">
        <f>NT!C91</f>
        <v>80</v>
      </c>
      <c r="C980" s="374">
        <f>NT!D91</f>
        <v>0</v>
      </c>
      <c r="D980" s="374">
        <v>0</v>
      </c>
      <c r="E980" s="374"/>
      <c r="F980" s="374"/>
      <c r="G980" s="375">
        <f t="shared" si="34"/>
        <v>0</v>
      </c>
      <c r="H980" s="375">
        <f t="shared" si="35"/>
        <v>0</v>
      </c>
      <c r="I980" s="376">
        <v>0</v>
      </c>
    </row>
    <row r="981" spans="1:9" x14ac:dyDescent="0.25">
      <c r="A981" s="373">
        <v>153</v>
      </c>
      <c r="B981" s="374">
        <f>NT!C92</f>
        <v>81</v>
      </c>
      <c r="C981" s="374">
        <f>NT!D92</f>
        <v>0</v>
      </c>
      <c r="D981" s="374">
        <v>0</v>
      </c>
      <c r="E981" s="374"/>
      <c r="F981" s="374"/>
      <c r="G981" s="375">
        <f t="shared" si="34"/>
        <v>0</v>
      </c>
      <c r="H981" s="375">
        <f t="shared" si="35"/>
        <v>0</v>
      </c>
      <c r="I981" s="376">
        <v>0</v>
      </c>
    </row>
    <row r="982" spans="1:9" x14ac:dyDescent="0.25">
      <c r="A982" s="373">
        <v>153</v>
      </c>
      <c r="B982" s="374">
        <f>NT!C93</f>
        <v>82</v>
      </c>
      <c r="C982" s="374">
        <f>NT!D93</f>
        <v>205133</v>
      </c>
      <c r="D982" s="374">
        <v>0</v>
      </c>
      <c r="E982" s="374"/>
      <c r="F982" s="374"/>
      <c r="G982" s="375">
        <f t="shared" si="34"/>
        <v>16820.905999999999</v>
      </c>
      <c r="H982" s="375">
        <f t="shared" si="35"/>
        <v>0</v>
      </c>
      <c r="I982" s="376">
        <v>0</v>
      </c>
    </row>
    <row r="983" spans="1:9" x14ac:dyDescent="0.25">
      <c r="A983" s="373">
        <v>153</v>
      </c>
      <c r="B983" s="374">
        <f>NT!C94</f>
        <v>83</v>
      </c>
      <c r="C983" s="374">
        <f>NT!D94</f>
        <v>34881</v>
      </c>
      <c r="D983" s="374">
        <v>0</v>
      </c>
      <c r="E983" s="374"/>
      <c r="F983" s="374"/>
      <c r="G983" s="375">
        <f t="shared" si="34"/>
        <v>2895.123</v>
      </c>
      <c r="H983" s="375">
        <f t="shared" si="35"/>
        <v>0</v>
      </c>
      <c r="I983" s="376">
        <v>0</v>
      </c>
    </row>
    <row r="984" spans="1:9" x14ac:dyDescent="0.25">
      <c r="A984" s="373">
        <v>153</v>
      </c>
      <c r="B984" s="374">
        <f>NT!C95</f>
        <v>84</v>
      </c>
      <c r="C984" s="374">
        <f>NT!D95</f>
        <v>0</v>
      </c>
      <c r="D984" s="374">
        <v>0</v>
      </c>
      <c r="E984" s="374"/>
      <c r="F984" s="374"/>
      <c r="G984" s="375">
        <f t="shared" si="34"/>
        <v>0</v>
      </c>
      <c r="H984" s="375">
        <f t="shared" si="35"/>
        <v>0</v>
      </c>
      <c r="I984" s="376">
        <v>0</v>
      </c>
    </row>
    <row r="985" spans="1:9" x14ac:dyDescent="0.25">
      <c r="A985" s="373">
        <v>153</v>
      </c>
      <c r="B985" s="374">
        <f>NT!C96</f>
        <v>85</v>
      </c>
      <c r="C985" s="374">
        <f>NT!D96</f>
        <v>0</v>
      </c>
      <c r="D985" s="374">
        <v>0</v>
      </c>
      <c r="E985" s="374"/>
      <c r="F985" s="374"/>
      <c r="G985" s="375">
        <f t="shared" si="34"/>
        <v>0</v>
      </c>
      <c r="H985" s="375">
        <f t="shared" si="35"/>
        <v>0</v>
      </c>
      <c r="I985" s="376">
        <v>0</v>
      </c>
    </row>
    <row r="986" spans="1:9" x14ac:dyDescent="0.25">
      <c r="A986" s="373">
        <v>153</v>
      </c>
      <c r="B986" s="374">
        <f>NT!C97</f>
        <v>86</v>
      </c>
      <c r="C986" s="374">
        <f>NT!D97</f>
        <v>0</v>
      </c>
      <c r="D986" s="374">
        <v>0</v>
      </c>
      <c r="E986" s="374"/>
      <c r="F986" s="374"/>
      <c r="G986" s="375">
        <f t="shared" si="34"/>
        <v>0</v>
      </c>
      <c r="H986" s="375">
        <f t="shared" si="35"/>
        <v>0</v>
      </c>
      <c r="I986" s="376">
        <v>0</v>
      </c>
    </row>
    <row r="987" spans="1:9" x14ac:dyDescent="0.25">
      <c r="A987" s="373">
        <v>153</v>
      </c>
      <c r="B987" s="374">
        <f>NT!C98</f>
        <v>87</v>
      </c>
      <c r="C987" s="374">
        <f>NT!D98</f>
        <v>0</v>
      </c>
      <c r="D987" s="374">
        <v>0</v>
      </c>
      <c r="E987" s="374"/>
      <c r="F987" s="374"/>
      <c r="G987" s="375">
        <f t="shared" si="34"/>
        <v>0</v>
      </c>
      <c r="H987" s="375">
        <f t="shared" si="35"/>
        <v>0</v>
      </c>
      <c r="I987" s="376">
        <v>0</v>
      </c>
    </row>
    <row r="988" spans="1:9" x14ac:dyDescent="0.25">
      <c r="A988" s="373">
        <v>153</v>
      </c>
      <c r="B988" s="374">
        <f>NT!C99</f>
        <v>88</v>
      </c>
      <c r="C988" s="374">
        <f>NT!D99</f>
        <v>0</v>
      </c>
      <c r="D988" s="374">
        <v>0</v>
      </c>
      <c r="E988" s="374"/>
      <c r="F988" s="374"/>
      <c r="G988" s="375">
        <f t="shared" si="34"/>
        <v>0</v>
      </c>
      <c r="H988" s="375">
        <f t="shared" si="35"/>
        <v>0</v>
      </c>
      <c r="I988" s="376">
        <v>0</v>
      </c>
    </row>
    <row r="989" spans="1:9" x14ac:dyDescent="0.25">
      <c r="A989" s="373">
        <v>153</v>
      </c>
      <c r="B989" s="374">
        <f>NT!C100</f>
        <v>89</v>
      </c>
      <c r="C989" s="374">
        <f>NT!D100</f>
        <v>0</v>
      </c>
      <c r="D989" s="374">
        <v>0</v>
      </c>
      <c r="E989" s="374"/>
      <c r="F989" s="374"/>
      <c r="G989" s="375">
        <f t="shared" si="34"/>
        <v>0</v>
      </c>
      <c r="H989" s="375">
        <f t="shared" si="35"/>
        <v>0</v>
      </c>
      <c r="I989" s="376">
        <v>0</v>
      </c>
    </row>
    <row r="990" spans="1:9" x14ac:dyDescent="0.25">
      <c r="A990" s="373">
        <v>153</v>
      </c>
      <c r="B990" s="374">
        <f>NT!C101</f>
        <v>90</v>
      </c>
      <c r="C990" s="374">
        <f>NT!D101</f>
        <v>34881</v>
      </c>
      <c r="D990" s="374">
        <v>0</v>
      </c>
      <c r="E990" s="374"/>
      <c r="F990" s="374"/>
      <c r="G990" s="375">
        <f t="shared" si="34"/>
        <v>3139.29</v>
      </c>
      <c r="H990" s="375">
        <f t="shared" si="35"/>
        <v>0</v>
      </c>
      <c r="I990" s="376">
        <v>0</v>
      </c>
    </row>
    <row r="991" spans="1:9" x14ac:dyDescent="0.25">
      <c r="A991" s="373">
        <v>153</v>
      </c>
      <c r="B991" s="374">
        <f>NT!C102</f>
        <v>91</v>
      </c>
      <c r="C991" s="374">
        <f>NT!D102</f>
        <v>34881</v>
      </c>
      <c r="D991" s="374">
        <v>0</v>
      </c>
      <c r="E991" s="374"/>
      <c r="F991" s="374"/>
      <c r="G991" s="375">
        <f t="shared" si="34"/>
        <v>3174.1709999999998</v>
      </c>
      <c r="H991" s="375">
        <f t="shared" si="35"/>
        <v>0</v>
      </c>
      <c r="I991" s="376">
        <v>0</v>
      </c>
    </row>
    <row r="992" spans="1:9" x14ac:dyDescent="0.25">
      <c r="A992" s="373">
        <v>153</v>
      </c>
      <c r="B992" s="374">
        <f>NT!C103</f>
        <v>92</v>
      </c>
      <c r="C992" s="374">
        <f>NT!D103</f>
        <v>0</v>
      </c>
      <c r="D992" s="374">
        <v>0</v>
      </c>
      <c r="E992" s="374"/>
      <c r="F992" s="374"/>
      <c r="G992" s="375">
        <f t="shared" si="34"/>
        <v>0</v>
      </c>
      <c r="H992" s="375">
        <f t="shared" si="35"/>
        <v>0</v>
      </c>
      <c r="I992" s="376">
        <v>0</v>
      </c>
    </row>
    <row r="993" spans="1:9" x14ac:dyDescent="0.25">
      <c r="A993" s="373">
        <v>153</v>
      </c>
      <c r="B993" s="374">
        <f>NT!C104</f>
        <v>93</v>
      </c>
      <c r="C993" s="374">
        <f>NT!D104</f>
        <v>0</v>
      </c>
      <c r="D993" s="374">
        <v>0</v>
      </c>
      <c r="E993" s="374"/>
      <c r="F993" s="374"/>
      <c r="G993" s="375">
        <f t="shared" si="34"/>
        <v>0</v>
      </c>
      <c r="H993" s="375">
        <f t="shared" si="35"/>
        <v>0</v>
      </c>
      <c r="I993" s="376">
        <v>0</v>
      </c>
    </row>
    <row r="994" spans="1:9" x14ac:dyDescent="0.25">
      <c r="A994" s="373">
        <v>153</v>
      </c>
      <c r="B994" s="374">
        <f>NT!C105</f>
        <v>94</v>
      </c>
      <c r="C994" s="374">
        <f>NT!D105</f>
        <v>0</v>
      </c>
      <c r="D994" s="374">
        <v>0</v>
      </c>
      <c r="E994" s="374"/>
      <c r="F994" s="374"/>
      <c r="G994" s="375">
        <f t="shared" si="34"/>
        <v>0</v>
      </c>
      <c r="H994" s="375">
        <f t="shared" si="35"/>
        <v>0</v>
      </c>
      <c r="I994" s="376">
        <v>0</v>
      </c>
    </row>
    <row r="995" spans="1:9" x14ac:dyDescent="0.25">
      <c r="A995" s="373">
        <v>153</v>
      </c>
      <c r="B995" s="374">
        <f>NT!C106</f>
        <v>95</v>
      </c>
      <c r="C995" s="374">
        <f>NT!D106</f>
        <v>310960</v>
      </c>
      <c r="D995" s="374">
        <v>0</v>
      </c>
      <c r="E995" s="374"/>
      <c r="F995" s="374"/>
      <c r="G995" s="375">
        <f t="shared" si="34"/>
        <v>29541.200000000001</v>
      </c>
      <c r="H995" s="375">
        <f t="shared" si="35"/>
        <v>0</v>
      </c>
      <c r="I995" s="376">
        <v>0</v>
      </c>
    </row>
    <row r="996" spans="1:9" x14ac:dyDescent="0.25">
      <c r="A996" s="373">
        <v>153</v>
      </c>
      <c r="B996" s="374">
        <f>NT!C107</f>
        <v>96</v>
      </c>
      <c r="C996" s="374">
        <f>NT!D107</f>
        <v>0</v>
      </c>
      <c r="D996" s="374">
        <v>0</v>
      </c>
      <c r="E996" s="374"/>
      <c r="F996" s="374"/>
      <c r="G996" s="375">
        <f t="shared" si="34"/>
        <v>0</v>
      </c>
      <c r="H996" s="375">
        <f t="shared" si="35"/>
        <v>0</v>
      </c>
      <c r="I996" s="376">
        <v>0</v>
      </c>
    </row>
    <row r="997" spans="1:9" x14ac:dyDescent="0.25">
      <c r="A997" s="373">
        <v>153</v>
      </c>
      <c r="B997" s="374">
        <f>NT!C108</f>
        <v>97</v>
      </c>
      <c r="C997" s="374">
        <f>NT!D108</f>
        <v>0</v>
      </c>
      <c r="D997" s="374">
        <v>0</v>
      </c>
      <c r="E997" s="374"/>
      <c r="F997" s="374"/>
      <c r="G997" s="375">
        <f t="shared" si="34"/>
        <v>0</v>
      </c>
      <c r="H997" s="375">
        <f t="shared" si="35"/>
        <v>0</v>
      </c>
      <c r="I997" s="376">
        <v>0</v>
      </c>
    </row>
    <row r="998" spans="1:9" x14ac:dyDescent="0.25">
      <c r="A998" s="373">
        <v>153</v>
      </c>
      <c r="B998" s="374">
        <f>NT!C109</f>
        <v>98</v>
      </c>
      <c r="C998" s="374">
        <f>NT!D109</f>
        <v>0</v>
      </c>
      <c r="D998" s="374">
        <v>0</v>
      </c>
      <c r="E998" s="374"/>
      <c r="F998" s="374"/>
      <c r="G998" s="375">
        <f t="shared" si="34"/>
        <v>0</v>
      </c>
      <c r="H998" s="375">
        <f t="shared" si="35"/>
        <v>0</v>
      </c>
      <c r="I998" s="376">
        <v>0</v>
      </c>
    </row>
    <row r="999" spans="1:9" x14ac:dyDescent="0.25">
      <c r="A999" s="373">
        <v>153</v>
      </c>
      <c r="B999" s="374">
        <f>NT!C110</f>
        <v>99</v>
      </c>
      <c r="C999" s="374">
        <f>NT!D110</f>
        <v>310960</v>
      </c>
      <c r="D999" s="374">
        <v>0</v>
      </c>
      <c r="E999" s="374"/>
      <c r="F999" s="374"/>
      <c r="G999" s="375">
        <f t="shared" si="34"/>
        <v>30785.040000000001</v>
      </c>
      <c r="H999" s="375">
        <f t="shared" si="35"/>
        <v>0</v>
      </c>
      <c r="I999" s="376">
        <v>0</v>
      </c>
    </row>
    <row r="1000" spans="1:9" x14ac:dyDescent="0.25">
      <c r="A1000" s="373">
        <v>153</v>
      </c>
      <c r="B1000" s="374">
        <f>NT!C111</f>
        <v>100</v>
      </c>
      <c r="C1000" s="374">
        <f>NT!D111</f>
        <v>30000</v>
      </c>
      <c r="D1000" s="374">
        <v>0</v>
      </c>
      <c r="E1000" s="374"/>
      <c r="F1000" s="374"/>
      <c r="G1000" s="375">
        <f t="shared" si="34"/>
        <v>3000</v>
      </c>
      <c r="H1000" s="375">
        <f t="shared" si="35"/>
        <v>0</v>
      </c>
      <c r="I1000" s="376">
        <v>0</v>
      </c>
    </row>
    <row r="1001" spans="1:9" x14ac:dyDescent="0.25">
      <c r="A1001" s="373">
        <v>153</v>
      </c>
      <c r="B1001" s="374">
        <f>NT!C112</f>
        <v>101</v>
      </c>
      <c r="C1001" s="374">
        <f>NT!D112</f>
        <v>280960</v>
      </c>
      <c r="D1001" s="374">
        <v>0</v>
      </c>
      <c r="E1001" s="374"/>
      <c r="F1001" s="374"/>
      <c r="G1001" s="375">
        <f t="shared" si="34"/>
        <v>28376.960000000003</v>
      </c>
      <c r="H1001" s="375">
        <f t="shared" si="35"/>
        <v>0</v>
      </c>
      <c r="I1001" s="376">
        <v>0</v>
      </c>
    </row>
    <row r="1002" spans="1:9" x14ac:dyDescent="0.25">
      <c r="A1002" s="373">
        <v>153</v>
      </c>
      <c r="B1002" s="374">
        <f>NT!C113</f>
        <v>102</v>
      </c>
      <c r="C1002" s="374">
        <f>NT!D113</f>
        <v>1229968</v>
      </c>
      <c r="D1002" s="374">
        <v>0</v>
      </c>
      <c r="E1002" s="374"/>
      <c r="F1002" s="374"/>
      <c r="G1002" s="375">
        <f t="shared" si="34"/>
        <v>125456.73599999999</v>
      </c>
      <c r="H1002" s="375">
        <f t="shared" si="35"/>
        <v>0</v>
      </c>
      <c r="I1002" s="376">
        <v>0</v>
      </c>
    </row>
    <row r="1003" spans="1:9" x14ac:dyDescent="0.25">
      <c r="A1003" s="373">
        <v>153</v>
      </c>
      <c r="B1003" s="374">
        <f>NT!C114</f>
        <v>103</v>
      </c>
      <c r="C1003" s="374">
        <f>NT!D114</f>
        <v>284955</v>
      </c>
      <c r="D1003" s="374">
        <v>0</v>
      </c>
      <c r="E1003" s="374"/>
      <c r="F1003" s="374"/>
      <c r="G1003" s="375">
        <f t="shared" si="34"/>
        <v>29350.364999999998</v>
      </c>
      <c r="H1003" s="375">
        <f t="shared" si="35"/>
        <v>0</v>
      </c>
      <c r="I1003" s="376">
        <v>0</v>
      </c>
    </row>
    <row r="1004" spans="1:9" x14ac:dyDescent="0.25">
      <c r="A1004" s="373">
        <v>153</v>
      </c>
      <c r="B1004" s="374">
        <f>NT!C115</f>
        <v>104</v>
      </c>
      <c r="C1004" s="374">
        <f>NT!D115</f>
        <v>284955</v>
      </c>
      <c r="D1004" s="374">
        <v>0</v>
      </c>
      <c r="E1004" s="374"/>
      <c r="F1004" s="374"/>
      <c r="G1004" s="375">
        <f t="shared" si="34"/>
        <v>29635.32</v>
      </c>
      <c r="H1004" s="375">
        <f t="shared" si="35"/>
        <v>0</v>
      </c>
      <c r="I1004" s="376">
        <v>0</v>
      </c>
    </row>
    <row r="1005" spans="1:9" x14ac:dyDescent="0.25">
      <c r="A1005" s="373">
        <v>153</v>
      </c>
      <c r="B1005" s="374">
        <f>NT!C116</f>
        <v>105</v>
      </c>
      <c r="C1005" s="374">
        <f>NT!D116</f>
        <v>0</v>
      </c>
      <c r="D1005" s="374">
        <v>0</v>
      </c>
      <c r="E1005" s="374"/>
      <c r="F1005" s="374"/>
      <c r="G1005" s="375">
        <f t="shared" si="34"/>
        <v>0</v>
      </c>
      <c r="H1005" s="375">
        <f t="shared" si="35"/>
        <v>0</v>
      </c>
      <c r="I1005" s="376">
        <v>0</v>
      </c>
    </row>
    <row r="1006" spans="1:9" x14ac:dyDescent="0.25">
      <c r="A1006" s="373">
        <v>153</v>
      </c>
      <c r="B1006" s="374">
        <f>NT!C117</f>
        <v>106</v>
      </c>
      <c r="C1006" s="374">
        <f>NT!D117</f>
        <v>0</v>
      </c>
      <c r="D1006" s="374">
        <v>0</v>
      </c>
      <c r="E1006" s="374"/>
      <c r="F1006" s="374"/>
      <c r="G1006" s="375">
        <f t="shared" si="34"/>
        <v>0</v>
      </c>
      <c r="H1006" s="375">
        <f t="shared" si="35"/>
        <v>0</v>
      </c>
      <c r="I1006" s="376">
        <v>0</v>
      </c>
    </row>
    <row r="1007" spans="1:9" x14ac:dyDescent="0.25">
      <c r="A1007" s="373">
        <v>153</v>
      </c>
      <c r="B1007" s="374">
        <f>NT!C118</f>
        <v>107</v>
      </c>
      <c r="C1007" s="374">
        <f>NT!D118</f>
        <v>0</v>
      </c>
      <c r="D1007" s="374">
        <v>0</v>
      </c>
      <c r="E1007" s="374"/>
      <c r="F1007" s="374"/>
      <c r="G1007" s="375">
        <f t="shared" si="34"/>
        <v>0</v>
      </c>
      <c r="H1007" s="375">
        <f t="shared" si="35"/>
        <v>0</v>
      </c>
      <c r="I1007" s="376">
        <v>0</v>
      </c>
    </row>
    <row r="1008" spans="1:9" x14ac:dyDescent="0.25">
      <c r="A1008" s="373">
        <v>153</v>
      </c>
      <c r="B1008" s="374">
        <f>NT!C119</f>
        <v>108</v>
      </c>
      <c r="C1008" s="374">
        <f>NT!D119</f>
        <v>0</v>
      </c>
      <c r="D1008" s="374">
        <v>0</v>
      </c>
      <c r="E1008" s="374"/>
      <c r="F1008" s="374"/>
      <c r="G1008" s="375">
        <f t="shared" si="34"/>
        <v>0</v>
      </c>
      <c r="H1008" s="375">
        <f t="shared" si="35"/>
        <v>0</v>
      </c>
      <c r="I1008" s="376">
        <v>0</v>
      </c>
    </row>
    <row r="1009" spans="1:9" x14ac:dyDescent="0.25">
      <c r="A1009" s="373">
        <v>153</v>
      </c>
      <c r="B1009" s="374">
        <f>NT!C120</f>
        <v>109</v>
      </c>
      <c r="C1009" s="374">
        <f>NT!D120</f>
        <v>0</v>
      </c>
      <c r="D1009" s="374">
        <v>0</v>
      </c>
      <c r="E1009" s="374"/>
      <c r="F1009" s="374"/>
      <c r="G1009" s="375">
        <f t="shared" si="34"/>
        <v>0</v>
      </c>
      <c r="H1009" s="375">
        <f t="shared" si="35"/>
        <v>0</v>
      </c>
      <c r="I1009" s="376">
        <v>0</v>
      </c>
    </row>
    <row r="1010" spans="1:9" x14ac:dyDescent="0.25">
      <c r="A1010" s="373">
        <v>153</v>
      </c>
      <c r="B1010" s="374">
        <f>NT!C121</f>
        <v>110</v>
      </c>
      <c r="C1010" s="374">
        <f>NT!D121</f>
        <v>0</v>
      </c>
      <c r="D1010" s="374">
        <v>0</v>
      </c>
      <c r="E1010" s="374"/>
      <c r="F1010" s="374"/>
      <c r="G1010" s="375">
        <f t="shared" si="34"/>
        <v>0</v>
      </c>
      <c r="H1010" s="375">
        <f t="shared" si="35"/>
        <v>0</v>
      </c>
      <c r="I1010" s="376">
        <v>0</v>
      </c>
    </row>
    <row r="1011" spans="1:9" x14ac:dyDescent="0.25">
      <c r="A1011" s="373">
        <v>153</v>
      </c>
      <c r="B1011" s="374">
        <f>NT!C122</f>
        <v>111</v>
      </c>
      <c r="C1011" s="374">
        <f>NT!D122</f>
        <v>0</v>
      </c>
      <c r="D1011" s="374">
        <v>0</v>
      </c>
      <c r="E1011" s="374"/>
      <c r="F1011" s="374"/>
      <c r="G1011" s="375">
        <f t="shared" si="34"/>
        <v>0</v>
      </c>
      <c r="H1011" s="375">
        <f t="shared" si="35"/>
        <v>0</v>
      </c>
      <c r="I1011" s="376">
        <v>0</v>
      </c>
    </row>
    <row r="1012" spans="1:9" x14ac:dyDescent="0.25">
      <c r="A1012" s="373">
        <v>153</v>
      </c>
      <c r="B1012" s="374">
        <f>NT!C123</f>
        <v>112</v>
      </c>
      <c r="C1012" s="374">
        <f>NT!D123</f>
        <v>0</v>
      </c>
      <c r="D1012" s="374">
        <v>0</v>
      </c>
      <c r="E1012" s="374"/>
      <c r="F1012" s="374"/>
      <c r="G1012" s="375">
        <f t="shared" si="34"/>
        <v>0</v>
      </c>
      <c r="H1012" s="375">
        <f t="shared" si="35"/>
        <v>0</v>
      </c>
      <c r="I1012" s="376">
        <v>0</v>
      </c>
    </row>
    <row r="1013" spans="1:9" x14ac:dyDescent="0.25">
      <c r="A1013" s="373">
        <v>153</v>
      </c>
      <c r="B1013" s="374">
        <f>NT!C124</f>
        <v>113</v>
      </c>
      <c r="C1013" s="374">
        <f>NT!D124</f>
        <v>0</v>
      </c>
      <c r="D1013" s="374">
        <v>0</v>
      </c>
      <c r="E1013" s="374"/>
      <c r="F1013" s="374"/>
      <c r="G1013" s="375">
        <f t="shared" si="34"/>
        <v>0</v>
      </c>
      <c r="H1013" s="375">
        <f t="shared" si="35"/>
        <v>0</v>
      </c>
      <c r="I1013" s="376">
        <v>0</v>
      </c>
    </row>
    <row r="1014" spans="1:9" x14ac:dyDescent="0.25">
      <c r="A1014" s="373">
        <v>153</v>
      </c>
      <c r="B1014" s="374">
        <f>NT!C125</f>
        <v>114</v>
      </c>
      <c r="C1014" s="374">
        <f>NT!D125</f>
        <v>945013</v>
      </c>
      <c r="D1014" s="374">
        <v>0</v>
      </c>
      <c r="E1014" s="374"/>
      <c r="F1014" s="374"/>
      <c r="G1014" s="375">
        <f t="shared" si="34"/>
        <v>107731.482</v>
      </c>
      <c r="H1014" s="375">
        <f t="shared" si="35"/>
        <v>0</v>
      </c>
      <c r="I1014" s="376">
        <v>0</v>
      </c>
    </row>
    <row r="1015" spans="1:9" x14ac:dyDescent="0.25">
      <c r="A1015" s="373">
        <v>153</v>
      </c>
      <c r="B1015" s="374">
        <f>NT!C126</f>
        <v>115</v>
      </c>
      <c r="C1015" s="374">
        <f>NT!D126</f>
        <v>945013</v>
      </c>
      <c r="D1015" s="374">
        <v>0</v>
      </c>
      <c r="E1015" s="374"/>
      <c r="F1015" s="374"/>
      <c r="G1015" s="375">
        <f t="shared" si="34"/>
        <v>108676.49500000001</v>
      </c>
      <c r="H1015" s="375">
        <f t="shared" si="35"/>
        <v>0</v>
      </c>
      <c r="I1015" s="376">
        <v>0</v>
      </c>
    </row>
    <row r="1016" spans="1:9" x14ac:dyDescent="0.25">
      <c r="A1016" s="373">
        <v>153</v>
      </c>
      <c r="B1016" s="374">
        <f>NT!C127</f>
        <v>116</v>
      </c>
      <c r="C1016" s="374">
        <f>NT!D127</f>
        <v>0</v>
      </c>
      <c r="D1016" s="374">
        <v>0</v>
      </c>
      <c r="E1016" s="374"/>
      <c r="F1016" s="374"/>
      <c r="G1016" s="375">
        <f t="shared" si="34"/>
        <v>0</v>
      </c>
      <c r="H1016" s="375">
        <f t="shared" si="35"/>
        <v>0</v>
      </c>
      <c r="I1016" s="376">
        <v>0</v>
      </c>
    </row>
    <row r="1017" spans="1:9" x14ac:dyDescent="0.25">
      <c r="A1017" s="373">
        <v>153</v>
      </c>
      <c r="B1017" s="374">
        <f>NT!C128</f>
        <v>117</v>
      </c>
      <c r="C1017" s="374">
        <f>NT!D128</f>
        <v>0</v>
      </c>
      <c r="D1017" s="374">
        <v>0</v>
      </c>
      <c r="E1017" s="374"/>
      <c r="F1017" s="374"/>
      <c r="G1017" s="375">
        <f t="shared" si="34"/>
        <v>0</v>
      </c>
      <c r="H1017" s="375">
        <f t="shared" si="35"/>
        <v>0</v>
      </c>
      <c r="I1017" s="376">
        <v>0</v>
      </c>
    </row>
    <row r="1018" spans="1:9" x14ac:dyDescent="0.25">
      <c r="A1018" s="373">
        <v>153</v>
      </c>
      <c r="B1018" s="374">
        <f>NT!C129</f>
        <v>118</v>
      </c>
      <c r="C1018" s="374">
        <f>NT!D129</f>
        <v>56164</v>
      </c>
      <c r="D1018" s="374">
        <v>0</v>
      </c>
      <c r="E1018" s="374"/>
      <c r="F1018" s="374"/>
      <c r="G1018" s="375">
        <f t="shared" si="34"/>
        <v>6627.3519999999999</v>
      </c>
      <c r="H1018" s="375">
        <f t="shared" si="35"/>
        <v>0</v>
      </c>
      <c r="I1018" s="376">
        <v>0</v>
      </c>
    </row>
    <row r="1019" spans="1:9" x14ac:dyDescent="0.25">
      <c r="A1019" s="373">
        <v>153</v>
      </c>
      <c r="B1019" s="374">
        <f>NT!C130</f>
        <v>119</v>
      </c>
      <c r="C1019" s="374">
        <f>NT!D130</f>
        <v>0</v>
      </c>
      <c r="D1019" s="374">
        <v>0</v>
      </c>
      <c r="E1019" s="374"/>
      <c r="F1019" s="374"/>
      <c r="G1019" s="375">
        <f t="shared" si="34"/>
        <v>0</v>
      </c>
      <c r="H1019" s="375">
        <f t="shared" si="35"/>
        <v>0</v>
      </c>
      <c r="I1019" s="376">
        <v>0</v>
      </c>
    </row>
    <row r="1020" spans="1:9" x14ac:dyDescent="0.25">
      <c r="A1020" s="373">
        <v>153</v>
      </c>
      <c r="B1020" s="374">
        <f>NT!C131</f>
        <v>120</v>
      </c>
      <c r="C1020" s="374">
        <f>NT!D131</f>
        <v>0</v>
      </c>
      <c r="D1020" s="374">
        <v>0</v>
      </c>
      <c r="E1020" s="374"/>
      <c r="F1020" s="374"/>
      <c r="G1020" s="375">
        <f t="shared" si="34"/>
        <v>0</v>
      </c>
      <c r="H1020" s="375">
        <f t="shared" si="35"/>
        <v>0</v>
      </c>
      <c r="I1020" s="376">
        <v>0</v>
      </c>
    </row>
    <row r="1021" spans="1:9" x14ac:dyDescent="0.25">
      <c r="A1021" s="373">
        <v>153</v>
      </c>
      <c r="B1021" s="374">
        <f>NT!C132</f>
        <v>121</v>
      </c>
      <c r="C1021" s="374">
        <f>NT!D132</f>
        <v>0</v>
      </c>
      <c r="D1021" s="374">
        <v>0</v>
      </c>
      <c r="E1021" s="374"/>
      <c r="F1021" s="374"/>
      <c r="G1021" s="375">
        <f t="shared" si="34"/>
        <v>0</v>
      </c>
      <c r="H1021" s="375">
        <f t="shared" si="35"/>
        <v>0</v>
      </c>
      <c r="I1021" s="376">
        <v>0</v>
      </c>
    </row>
    <row r="1022" spans="1:9" x14ac:dyDescent="0.25">
      <c r="A1022" s="373">
        <v>153</v>
      </c>
      <c r="B1022" s="374">
        <f>NT!C133</f>
        <v>122</v>
      </c>
      <c r="C1022" s="374">
        <f>NT!D133</f>
        <v>0</v>
      </c>
      <c r="D1022" s="374">
        <v>0</v>
      </c>
      <c r="E1022" s="374"/>
      <c r="F1022" s="374"/>
      <c r="G1022" s="375">
        <f t="shared" si="34"/>
        <v>0</v>
      </c>
      <c r="H1022" s="375">
        <f t="shared" si="35"/>
        <v>0</v>
      </c>
      <c r="I1022" s="376">
        <v>0</v>
      </c>
    </row>
    <row r="1023" spans="1:9" x14ac:dyDescent="0.25">
      <c r="A1023" s="373">
        <v>153</v>
      </c>
      <c r="B1023" s="374">
        <f>NT!C134</f>
        <v>123</v>
      </c>
      <c r="C1023" s="374">
        <f>NT!D134</f>
        <v>0</v>
      </c>
      <c r="D1023" s="374">
        <v>0</v>
      </c>
      <c r="E1023" s="374"/>
      <c r="F1023" s="374"/>
      <c r="G1023" s="375">
        <f t="shared" si="34"/>
        <v>0</v>
      </c>
      <c r="H1023" s="375">
        <f t="shared" si="35"/>
        <v>0</v>
      </c>
      <c r="I1023" s="376">
        <v>0</v>
      </c>
    </row>
    <row r="1024" spans="1:9" x14ac:dyDescent="0.25">
      <c r="A1024" s="373">
        <v>153</v>
      </c>
      <c r="B1024" s="374">
        <f>NT!C135</f>
        <v>124</v>
      </c>
      <c r="C1024" s="374">
        <f>NT!D135</f>
        <v>0</v>
      </c>
      <c r="D1024" s="374">
        <v>0</v>
      </c>
      <c r="E1024" s="374"/>
      <c r="F1024" s="374"/>
      <c r="G1024" s="375">
        <f t="shared" si="34"/>
        <v>0</v>
      </c>
      <c r="H1024" s="375">
        <f t="shared" si="35"/>
        <v>0</v>
      </c>
      <c r="I1024" s="376">
        <v>0</v>
      </c>
    </row>
    <row r="1025" spans="1:9" x14ac:dyDescent="0.25">
      <c r="A1025" s="373">
        <v>153</v>
      </c>
      <c r="B1025" s="374">
        <f>NT!C136</f>
        <v>125</v>
      </c>
      <c r="C1025" s="374">
        <f>NT!D136</f>
        <v>62518</v>
      </c>
      <c r="D1025" s="374">
        <v>0</v>
      </c>
      <c r="E1025" s="374"/>
      <c r="F1025" s="374"/>
      <c r="G1025" s="375">
        <f t="shared" si="34"/>
        <v>7814.75</v>
      </c>
      <c r="H1025" s="375">
        <f t="shared" si="35"/>
        <v>0</v>
      </c>
      <c r="I1025" s="376">
        <v>0</v>
      </c>
    </row>
    <row r="1026" spans="1:9" x14ac:dyDescent="0.25">
      <c r="A1026" s="373">
        <v>153</v>
      </c>
      <c r="B1026" s="374">
        <f>NT!C137</f>
        <v>126</v>
      </c>
      <c r="C1026" s="374">
        <f>NT!D137</f>
        <v>54900</v>
      </c>
      <c r="D1026" s="374">
        <v>0</v>
      </c>
      <c r="E1026" s="374"/>
      <c r="F1026" s="374"/>
      <c r="G1026" s="375">
        <f t="shared" si="34"/>
        <v>6917.4</v>
      </c>
      <c r="H1026" s="375">
        <f t="shared" si="35"/>
        <v>0</v>
      </c>
      <c r="I1026" s="376">
        <v>0</v>
      </c>
    </row>
    <row r="1027" spans="1:9" x14ac:dyDescent="0.25">
      <c r="A1027" s="373">
        <v>153</v>
      </c>
      <c r="B1027" s="374">
        <f>NT!C138</f>
        <v>127</v>
      </c>
      <c r="C1027" s="374">
        <f>NT!D138</f>
        <v>0</v>
      </c>
      <c r="D1027" s="374">
        <v>0</v>
      </c>
      <c r="E1027" s="374"/>
      <c r="F1027" s="374"/>
      <c r="G1027" s="375">
        <f t="shared" si="34"/>
        <v>0</v>
      </c>
      <c r="H1027" s="375">
        <f t="shared" si="35"/>
        <v>0</v>
      </c>
      <c r="I1027" s="376">
        <v>0</v>
      </c>
    </row>
    <row r="1028" spans="1:9" x14ac:dyDescent="0.25">
      <c r="A1028" s="373">
        <v>153</v>
      </c>
      <c r="B1028" s="374">
        <f>NT!C139</f>
        <v>128</v>
      </c>
      <c r="C1028" s="374">
        <f>NT!D139</f>
        <v>0</v>
      </c>
      <c r="D1028" s="374">
        <v>0</v>
      </c>
      <c r="E1028" s="374"/>
      <c r="F1028" s="374"/>
      <c r="G1028" s="375">
        <f t="shared" si="34"/>
        <v>0</v>
      </c>
      <c r="H1028" s="375">
        <f t="shared" si="35"/>
        <v>0</v>
      </c>
      <c r="I1028" s="376">
        <v>0</v>
      </c>
    </row>
    <row r="1029" spans="1:9" x14ac:dyDescent="0.25">
      <c r="A1029" s="373">
        <v>153</v>
      </c>
      <c r="B1029" s="374">
        <f>NT!C140</f>
        <v>129</v>
      </c>
      <c r="C1029" s="374">
        <f>NT!D140</f>
        <v>0</v>
      </c>
      <c r="D1029" s="374">
        <v>0</v>
      </c>
      <c r="E1029" s="374"/>
      <c r="F1029" s="374"/>
      <c r="G1029" s="375">
        <f t="shared" si="34"/>
        <v>0</v>
      </c>
      <c r="H1029" s="375">
        <f t="shared" si="35"/>
        <v>0</v>
      </c>
      <c r="I1029" s="376">
        <v>0</v>
      </c>
    </row>
    <row r="1030" spans="1:9" x14ac:dyDescent="0.25">
      <c r="A1030" s="373">
        <v>153</v>
      </c>
      <c r="B1030" s="374">
        <f>NT!C141</f>
        <v>130</v>
      </c>
      <c r="C1030" s="374">
        <f>NT!D141</f>
        <v>0</v>
      </c>
      <c r="D1030" s="374">
        <v>0</v>
      </c>
      <c r="E1030" s="374"/>
      <c r="F1030" s="374"/>
      <c r="G1030" s="375">
        <f t="shared" si="34"/>
        <v>0</v>
      </c>
      <c r="H1030" s="375">
        <f t="shared" si="35"/>
        <v>0</v>
      </c>
      <c r="I1030" s="376">
        <v>0</v>
      </c>
    </row>
    <row r="1031" spans="1:9" x14ac:dyDescent="0.25">
      <c r="A1031" s="373">
        <v>153</v>
      </c>
      <c r="B1031" s="374">
        <f>NT!C142</f>
        <v>131</v>
      </c>
      <c r="C1031" s="374">
        <f>NT!D142</f>
        <v>54900</v>
      </c>
      <c r="D1031" s="374">
        <v>0</v>
      </c>
      <c r="E1031" s="374"/>
      <c r="F1031" s="374"/>
      <c r="G1031" s="375">
        <f t="shared" si="34"/>
        <v>7191.9000000000005</v>
      </c>
      <c r="H1031" s="375">
        <f t="shared" si="35"/>
        <v>0</v>
      </c>
      <c r="I1031" s="376">
        <v>0</v>
      </c>
    </row>
    <row r="1032" spans="1:9" x14ac:dyDescent="0.25">
      <c r="A1032" s="373">
        <v>153</v>
      </c>
      <c r="B1032" s="374">
        <f>NT!C143</f>
        <v>132</v>
      </c>
      <c r="C1032" s="374">
        <f>NT!D143</f>
        <v>0</v>
      </c>
      <c r="D1032" s="374">
        <v>0</v>
      </c>
      <c r="E1032" s="374"/>
      <c r="F1032" s="374"/>
      <c r="G1032" s="375">
        <f t="shared" si="34"/>
        <v>0</v>
      </c>
      <c r="H1032" s="375">
        <f t="shared" si="35"/>
        <v>0</v>
      </c>
      <c r="I1032" s="376">
        <v>0</v>
      </c>
    </row>
    <row r="1033" spans="1:9" x14ac:dyDescent="0.25">
      <c r="A1033" s="373">
        <v>153</v>
      </c>
      <c r="B1033" s="374">
        <f>NT!C144</f>
        <v>133</v>
      </c>
      <c r="C1033" s="374">
        <f>NT!D144</f>
        <v>0</v>
      </c>
      <c r="D1033" s="374">
        <v>0</v>
      </c>
      <c r="E1033" s="374"/>
      <c r="F1033" s="374"/>
      <c r="G1033" s="375">
        <f t="shared" si="34"/>
        <v>0</v>
      </c>
      <c r="H1033" s="375">
        <f t="shared" si="35"/>
        <v>0</v>
      </c>
      <c r="I1033" s="376">
        <v>0</v>
      </c>
    </row>
    <row r="1034" spans="1:9" x14ac:dyDescent="0.25">
      <c r="A1034" s="373">
        <v>153</v>
      </c>
      <c r="B1034" s="374">
        <f>NT!C145</f>
        <v>134</v>
      </c>
      <c r="C1034" s="374">
        <f>NT!D145</f>
        <v>0</v>
      </c>
      <c r="D1034" s="374">
        <v>0</v>
      </c>
      <c r="E1034" s="374"/>
      <c r="F1034" s="374"/>
      <c r="G1034" s="375">
        <f t="shared" si="34"/>
        <v>0</v>
      </c>
      <c r="H1034" s="375">
        <f t="shared" si="35"/>
        <v>0</v>
      </c>
      <c r="I1034" s="376">
        <v>0</v>
      </c>
    </row>
    <row r="1035" spans="1:9" x14ac:dyDescent="0.25">
      <c r="A1035" s="373">
        <v>153</v>
      </c>
      <c r="B1035" s="374">
        <f>NT!C146</f>
        <v>135</v>
      </c>
      <c r="C1035" s="374">
        <f>NT!D146</f>
        <v>0</v>
      </c>
      <c r="D1035" s="374">
        <v>0</v>
      </c>
      <c r="E1035" s="374"/>
      <c r="F1035" s="374"/>
      <c r="G1035" s="375">
        <f t="shared" si="34"/>
        <v>0</v>
      </c>
      <c r="H1035" s="375">
        <f t="shared" si="35"/>
        <v>0</v>
      </c>
      <c r="I1035" s="376">
        <v>0</v>
      </c>
    </row>
    <row r="1036" spans="1:9" x14ac:dyDescent="0.25">
      <c r="A1036" s="373">
        <v>153</v>
      </c>
      <c r="B1036" s="374">
        <f>NT!C147</f>
        <v>136</v>
      </c>
      <c r="C1036" s="374">
        <f>NT!D147</f>
        <v>0</v>
      </c>
      <c r="D1036" s="374">
        <v>0</v>
      </c>
      <c r="E1036" s="374"/>
      <c r="F1036" s="374"/>
      <c r="G1036" s="375">
        <f t="shared" si="34"/>
        <v>0</v>
      </c>
      <c r="H1036" s="375">
        <f t="shared" si="35"/>
        <v>0</v>
      </c>
      <c r="I1036" s="376">
        <v>0</v>
      </c>
    </row>
    <row r="1037" spans="1:9" x14ac:dyDescent="0.25">
      <c r="A1037" s="373">
        <v>153</v>
      </c>
      <c r="B1037" s="374">
        <f>NT!C148</f>
        <v>137</v>
      </c>
      <c r="C1037" s="374">
        <f>NT!D148</f>
        <v>54900</v>
      </c>
      <c r="D1037" s="374">
        <v>0</v>
      </c>
      <c r="E1037" s="374"/>
      <c r="F1037" s="374"/>
      <c r="G1037" s="375">
        <f t="shared" si="34"/>
        <v>7521.3</v>
      </c>
      <c r="H1037" s="375">
        <f t="shared" si="35"/>
        <v>0</v>
      </c>
      <c r="I1037" s="376">
        <v>0</v>
      </c>
    </row>
    <row r="1038" spans="1:9" x14ac:dyDescent="0.25">
      <c r="A1038" s="373">
        <v>153</v>
      </c>
      <c r="B1038" s="374">
        <f>NT!C149</f>
        <v>138</v>
      </c>
      <c r="C1038" s="374">
        <f>NT!D149</f>
        <v>0</v>
      </c>
      <c r="D1038" s="374">
        <v>0</v>
      </c>
      <c r="E1038" s="374"/>
      <c r="F1038" s="374"/>
      <c r="G1038" s="375">
        <f t="shared" si="34"/>
        <v>0</v>
      </c>
      <c r="H1038" s="375">
        <f t="shared" si="35"/>
        <v>0</v>
      </c>
      <c r="I1038" s="376">
        <v>0</v>
      </c>
    </row>
    <row r="1039" spans="1:9" x14ac:dyDescent="0.25">
      <c r="A1039" s="373">
        <v>153</v>
      </c>
      <c r="B1039" s="374">
        <f>NT!C150</f>
        <v>139</v>
      </c>
      <c r="C1039" s="374">
        <f>NT!D150</f>
        <v>0</v>
      </c>
      <c r="D1039" s="374">
        <v>0</v>
      </c>
      <c r="E1039" s="374"/>
      <c r="F1039" s="374"/>
      <c r="G1039" s="375">
        <f t="shared" si="34"/>
        <v>0</v>
      </c>
      <c r="H1039" s="375">
        <f t="shared" si="35"/>
        <v>0</v>
      </c>
      <c r="I1039" s="376">
        <v>0</v>
      </c>
    </row>
    <row r="1040" spans="1:9" x14ac:dyDescent="0.25">
      <c r="A1040" s="373">
        <v>153</v>
      </c>
      <c r="B1040" s="374">
        <f>NT!C151</f>
        <v>140</v>
      </c>
      <c r="C1040" s="374">
        <f>NT!D151</f>
        <v>7618</v>
      </c>
      <c r="D1040" s="374">
        <v>0</v>
      </c>
      <c r="E1040" s="374"/>
      <c r="F1040" s="374"/>
      <c r="G1040" s="375">
        <f t="shared" ref="G1040:G1103" si="36">B1040/1000*C1040</f>
        <v>1066.5200000000002</v>
      </c>
      <c r="H1040" s="375">
        <f t="shared" ref="H1040:H1103" si="37">ABS(C1040-ROUND(C1040,0))</f>
        <v>0</v>
      </c>
      <c r="I1040" s="376">
        <v>0</v>
      </c>
    </row>
    <row r="1041" spans="1:9" x14ac:dyDescent="0.25">
      <c r="A1041" s="373">
        <v>153</v>
      </c>
      <c r="B1041" s="374">
        <f>NT!C152</f>
        <v>141</v>
      </c>
      <c r="C1041" s="374">
        <f>NT!D152</f>
        <v>0</v>
      </c>
      <c r="D1041" s="374">
        <v>0</v>
      </c>
      <c r="E1041" s="374"/>
      <c r="F1041" s="374"/>
      <c r="G1041" s="375">
        <f t="shared" si="36"/>
        <v>0</v>
      </c>
      <c r="H1041" s="375">
        <f t="shared" si="37"/>
        <v>0</v>
      </c>
      <c r="I1041" s="376">
        <v>0</v>
      </c>
    </row>
    <row r="1042" spans="1:9" x14ac:dyDescent="0.25">
      <c r="A1042" s="373">
        <v>153</v>
      </c>
      <c r="B1042" s="374">
        <f>NT!C153</f>
        <v>142</v>
      </c>
      <c r="C1042" s="374">
        <f>NT!D153</f>
        <v>0</v>
      </c>
      <c r="D1042" s="374">
        <v>0</v>
      </c>
      <c r="E1042" s="374"/>
      <c r="F1042" s="374"/>
      <c r="G1042" s="375">
        <f t="shared" si="36"/>
        <v>0</v>
      </c>
      <c r="H1042" s="375">
        <f t="shared" si="37"/>
        <v>0</v>
      </c>
      <c r="I1042" s="376">
        <v>0</v>
      </c>
    </row>
    <row r="1043" spans="1:9" x14ac:dyDescent="0.25">
      <c r="A1043" s="373">
        <v>153</v>
      </c>
      <c r="B1043" s="374">
        <f>NT!C154</f>
        <v>143</v>
      </c>
      <c r="C1043" s="374">
        <f>NT!D154</f>
        <v>0</v>
      </c>
      <c r="D1043" s="374">
        <v>0</v>
      </c>
      <c r="E1043" s="374"/>
      <c r="F1043" s="374"/>
      <c r="G1043" s="375">
        <f t="shared" si="36"/>
        <v>0</v>
      </c>
      <c r="H1043" s="375">
        <f t="shared" si="37"/>
        <v>0</v>
      </c>
      <c r="I1043" s="376">
        <v>0</v>
      </c>
    </row>
    <row r="1044" spans="1:9" x14ac:dyDescent="0.25">
      <c r="A1044" s="373">
        <v>153</v>
      </c>
      <c r="B1044" s="374">
        <f>NT!C155</f>
        <v>144</v>
      </c>
      <c r="C1044" s="374">
        <f>NT!D155</f>
        <v>0</v>
      </c>
      <c r="D1044" s="374">
        <v>0</v>
      </c>
      <c r="E1044" s="374"/>
      <c r="F1044" s="374"/>
      <c r="G1044" s="375">
        <f t="shared" si="36"/>
        <v>0</v>
      </c>
      <c r="H1044" s="375">
        <f t="shared" si="37"/>
        <v>0</v>
      </c>
      <c r="I1044" s="376">
        <v>0</v>
      </c>
    </row>
    <row r="1045" spans="1:9" x14ac:dyDescent="0.25">
      <c r="A1045" s="373">
        <v>153</v>
      </c>
      <c r="B1045" s="374">
        <f>NT!C156</f>
        <v>145</v>
      </c>
      <c r="C1045" s="374">
        <f>NT!D156</f>
        <v>0</v>
      </c>
      <c r="D1045" s="374">
        <v>0</v>
      </c>
      <c r="E1045" s="374"/>
      <c r="F1045" s="374"/>
      <c r="G1045" s="375">
        <f t="shared" si="36"/>
        <v>0</v>
      </c>
      <c r="H1045" s="375">
        <f t="shared" si="37"/>
        <v>0</v>
      </c>
      <c r="I1045" s="376">
        <v>0</v>
      </c>
    </row>
    <row r="1046" spans="1:9" x14ac:dyDescent="0.25">
      <c r="A1046" s="373">
        <v>153</v>
      </c>
      <c r="B1046" s="374">
        <f>NT!C157</f>
        <v>146</v>
      </c>
      <c r="C1046" s="374">
        <f>NT!D157</f>
        <v>7618</v>
      </c>
      <c r="D1046" s="374">
        <v>0</v>
      </c>
      <c r="E1046" s="374"/>
      <c r="F1046" s="374"/>
      <c r="G1046" s="375">
        <f t="shared" si="36"/>
        <v>1112.2279999999998</v>
      </c>
      <c r="H1046" s="375">
        <f t="shared" si="37"/>
        <v>0</v>
      </c>
      <c r="I1046" s="376">
        <v>0</v>
      </c>
    </row>
    <row r="1047" spans="1:9" x14ac:dyDescent="0.25">
      <c r="A1047" s="373">
        <v>153</v>
      </c>
      <c r="B1047" s="374">
        <f>NT!C158</f>
        <v>147</v>
      </c>
      <c r="C1047" s="374">
        <f>NT!D158</f>
        <v>0</v>
      </c>
      <c r="D1047" s="374">
        <v>0</v>
      </c>
      <c r="E1047" s="374"/>
      <c r="F1047" s="374"/>
      <c r="G1047" s="375">
        <f t="shared" si="36"/>
        <v>0</v>
      </c>
      <c r="H1047" s="375">
        <f t="shared" si="37"/>
        <v>0</v>
      </c>
      <c r="I1047" s="376">
        <v>0</v>
      </c>
    </row>
    <row r="1048" spans="1:9" x14ac:dyDescent="0.25">
      <c r="A1048" s="373">
        <v>153</v>
      </c>
      <c r="B1048" s="374">
        <f>NT!C159</f>
        <v>148</v>
      </c>
      <c r="C1048" s="374">
        <f>NT!D159</f>
        <v>0</v>
      </c>
      <c r="D1048" s="374">
        <v>0</v>
      </c>
      <c r="E1048" s="374"/>
      <c r="F1048" s="374"/>
      <c r="G1048" s="375">
        <f t="shared" si="36"/>
        <v>0</v>
      </c>
      <c r="H1048" s="375">
        <f t="shared" si="37"/>
        <v>0</v>
      </c>
      <c r="I1048" s="376">
        <v>0</v>
      </c>
    </row>
    <row r="1049" spans="1:9" x14ac:dyDescent="0.25">
      <c r="A1049" s="373">
        <v>153</v>
      </c>
      <c r="B1049" s="374">
        <f>NT!C160</f>
        <v>149</v>
      </c>
      <c r="C1049" s="374">
        <f>NT!D160</f>
        <v>7618</v>
      </c>
      <c r="D1049" s="374">
        <v>0</v>
      </c>
      <c r="E1049" s="374"/>
      <c r="F1049" s="374"/>
      <c r="G1049" s="375">
        <f t="shared" si="36"/>
        <v>1135.0819999999999</v>
      </c>
      <c r="H1049" s="375">
        <f t="shared" si="37"/>
        <v>0</v>
      </c>
      <c r="I1049" s="376">
        <v>0</v>
      </c>
    </row>
    <row r="1050" spans="1:9" x14ac:dyDescent="0.25">
      <c r="A1050" s="373">
        <v>153</v>
      </c>
      <c r="B1050" s="374">
        <f>NT!C161</f>
        <v>150</v>
      </c>
      <c r="C1050" s="374">
        <f>NT!D161</f>
        <v>0</v>
      </c>
      <c r="D1050" s="374">
        <v>0</v>
      </c>
      <c r="E1050" s="374"/>
      <c r="F1050" s="374"/>
      <c r="G1050" s="375">
        <f t="shared" si="36"/>
        <v>0</v>
      </c>
      <c r="H1050" s="375">
        <f t="shared" si="37"/>
        <v>0</v>
      </c>
      <c r="I1050" s="376">
        <v>0</v>
      </c>
    </row>
    <row r="1051" spans="1:9" x14ac:dyDescent="0.25">
      <c r="A1051" s="373">
        <v>153</v>
      </c>
      <c r="B1051" s="374">
        <f>NT!C162</f>
        <v>151</v>
      </c>
      <c r="C1051" s="374">
        <f>NT!D162</f>
        <v>0</v>
      </c>
      <c r="D1051" s="374">
        <v>0</v>
      </c>
      <c r="E1051" s="374"/>
      <c r="F1051" s="374"/>
      <c r="G1051" s="375">
        <f t="shared" si="36"/>
        <v>0</v>
      </c>
      <c r="H1051" s="375">
        <f t="shared" si="37"/>
        <v>0</v>
      </c>
      <c r="I1051" s="376">
        <v>0</v>
      </c>
    </row>
    <row r="1052" spans="1:9" x14ac:dyDescent="0.25">
      <c r="A1052" s="373">
        <v>153</v>
      </c>
      <c r="B1052" s="374">
        <f>NT!C163</f>
        <v>152</v>
      </c>
      <c r="C1052" s="374">
        <f>NT!D163</f>
        <v>0</v>
      </c>
      <c r="D1052" s="374">
        <v>0</v>
      </c>
      <c r="E1052" s="374"/>
      <c r="F1052" s="374"/>
      <c r="G1052" s="375">
        <f t="shared" si="36"/>
        <v>0</v>
      </c>
      <c r="H1052" s="375">
        <f t="shared" si="37"/>
        <v>0</v>
      </c>
      <c r="I1052" s="376">
        <v>0</v>
      </c>
    </row>
    <row r="1053" spans="1:9" x14ac:dyDescent="0.25">
      <c r="A1053" s="373">
        <v>153</v>
      </c>
      <c r="B1053" s="374">
        <f>NT!C164</f>
        <v>153</v>
      </c>
      <c r="C1053" s="374">
        <f>NT!D164</f>
        <v>0</v>
      </c>
      <c r="D1053" s="374">
        <v>0</v>
      </c>
      <c r="E1053" s="374"/>
      <c r="F1053" s="374"/>
      <c r="G1053" s="375">
        <f t="shared" si="36"/>
        <v>0</v>
      </c>
      <c r="H1053" s="375">
        <f t="shared" si="37"/>
        <v>0</v>
      </c>
      <c r="I1053" s="376">
        <v>0</v>
      </c>
    </row>
    <row r="1054" spans="1:9" x14ac:dyDescent="0.25">
      <c r="A1054" s="373">
        <v>153</v>
      </c>
      <c r="B1054" s="374">
        <f>NT!C165</f>
        <v>154</v>
      </c>
      <c r="C1054" s="374">
        <f>NT!D165</f>
        <v>0</v>
      </c>
      <c r="D1054" s="374">
        <v>0</v>
      </c>
      <c r="E1054" s="374"/>
      <c r="F1054" s="374"/>
      <c r="G1054" s="375">
        <f t="shared" si="36"/>
        <v>0</v>
      </c>
      <c r="H1054" s="375">
        <f t="shared" si="37"/>
        <v>0</v>
      </c>
      <c r="I1054" s="376">
        <v>0</v>
      </c>
    </row>
    <row r="1055" spans="1:9" x14ac:dyDescent="0.25">
      <c r="A1055" s="373">
        <v>153</v>
      </c>
      <c r="B1055" s="374">
        <f>NT!C166</f>
        <v>155</v>
      </c>
      <c r="C1055" s="374">
        <f>NT!D166</f>
        <v>0</v>
      </c>
      <c r="D1055" s="374">
        <v>0</v>
      </c>
      <c r="E1055" s="374"/>
      <c r="F1055" s="374"/>
      <c r="G1055" s="375">
        <f t="shared" si="36"/>
        <v>0</v>
      </c>
      <c r="H1055" s="375">
        <f t="shared" si="37"/>
        <v>0</v>
      </c>
      <c r="I1055" s="376">
        <v>0</v>
      </c>
    </row>
    <row r="1056" spans="1:9" x14ac:dyDescent="0.25">
      <c r="A1056" s="373">
        <v>153</v>
      </c>
      <c r="B1056" s="374">
        <f>NT!C167</f>
        <v>156</v>
      </c>
      <c r="C1056" s="374">
        <f>NT!D167</f>
        <v>0</v>
      </c>
      <c r="D1056" s="374">
        <v>0</v>
      </c>
      <c r="E1056" s="374"/>
      <c r="F1056" s="374"/>
      <c r="G1056" s="375">
        <f t="shared" si="36"/>
        <v>0</v>
      </c>
      <c r="H1056" s="375">
        <f t="shared" si="37"/>
        <v>0</v>
      </c>
      <c r="I1056" s="376">
        <v>0</v>
      </c>
    </row>
    <row r="1057" spans="1:9" x14ac:dyDescent="0.25">
      <c r="A1057" s="373">
        <v>153</v>
      </c>
      <c r="B1057" s="374">
        <f>NT!C168</f>
        <v>157</v>
      </c>
      <c r="C1057" s="374">
        <f>NT!D168</f>
        <v>0</v>
      </c>
      <c r="D1057" s="374">
        <v>0</v>
      </c>
      <c r="E1057" s="374"/>
      <c r="F1057" s="374"/>
      <c r="G1057" s="375">
        <f t="shared" si="36"/>
        <v>0</v>
      </c>
      <c r="H1057" s="375">
        <f t="shared" si="37"/>
        <v>0</v>
      </c>
      <c r="I1057" s="376">
        <v>0</v>
      </c>
    </row>
    <row r="1058" spans="1:9" x14ac:dyDescent="0.25">
      <c r="A1058" s="373">
        <v>153</v>
      </c>
      <c r="B1058" s="374">
        <f>NT!C169</f>
        <v>158</v>
      </c>
      <c r="C1058" s="374">
        <f>NT!D169</f>
        <v>0</v>
      </c>
      <c r="D1058" s="374">
        <v>0</v>
      </c>
      <c r="E1058" s="374"/>
      <c r="F1058" s="374"/>
      <c r="G1058" s="375">
        <f t="shared" si="36"/>
        <v>0</v>
      </c>
      <c r="H1058" s="375">
        <f t="shared" si="37"/>
        <v>0</v>
      </c>
      <c r="I1058" s="376">
        <v>0</v>
      </c>
    </row>
    <row r="1059" spans="1:9" x14ac:dyDescent="0.25">
      <c r="A1059" s="373">
        <v>153</v>
      </c>
      <c r="B1059" s="374">
        <f>NT!C170</f>
        <v>159</v>
      </c>
      <c r="C1059" s="374">
        <f>NT!D170</f>
        <v>0</v>
      </c>
      <c r="D1059" s="374">
        <v>0</v>
      </c>
      <c r="E1059" s="374"/>
      <c r="F1059" s="374"/>
      <c r="G1059" s="375">
        <f t="shared" si="36"/>
        <v>0</v>
      </c>
      <c r="H1059" s="375">
        <f t="shared" si="37"/>
        <v>0</v>
      </c>
      <c r="I1059" s="376">
        <v>0</v>
      </c>
    </row>
    <row r="1060" spans="1:9" x14ac:dyDescent="0.25">
      <c r="A1060" s="373">
        <v>153</v>
      </c>
      <c r="B1060" s="374">
        <f>NT!C171</f>
        <v>160</v>
      </c>
      <c r="C1060" s="374">
        <f>NT!D171</f>
        <v>0</v>
      </c>
      <c r="D1060" s="374">
        <v>0</v>
      </c>
      <c r="E1060" s="374"/>
      <c r="F1060" s="374"/>
      <c r="G1060" s="375">
        <f t="shared" si="36"/>
        <v>0</v>
      </c>
      <c r="H1060" s="375">
        <f t="shared" si="37"/>
        <v>0</v>
      </c>
      <c r="I1060" s="376">
        <v>0</v>
      </c>
    </row>
    <row r="1061" spans="1:9" x14ac:dyDescent="0.25">
      <c r="A1061" s="373">
        <v>153</v>
      </c>
      <c r="B1061" s="374">
        <f>NT!C172</f>
        <v>161</v>
      </c>
      <c r="C1061" s="374">
        <f>NT!D172</f>
        <v>0</v>
      </c>
      <c r="D1061" s="374">
        <v>0</v>
      </c>
      <c r="E1061" s="374"/>
      <c r="F1061" s="374"/>
      <c r="G1061" s="375">
        <f t="shared" si="36"/>
        <v>0</v>
      </c>
      <c r="H1061" s="375">
        <f t="shared" si="37"/>
        <v>0</v>
      </c>
      <c r="I1061" s="376">
        <v>0</v>
      </c>
    </row>
    <row r="1062" spans="1:9" x14ac:dyDescent="0.25">
      <c r="A1062" s="373">
        <v>153</v>
      </c>
      <c r="B1062" s="374">
        <f>NT!C173</f>
        <v>162</v>
      </c>
      <c r="C1062" s="374">
        <f>NT!D173</f>
        <v>0</v>
      </c>
      <c r="D1062" s="374">
        <v>0</v>
      </c>
      <c r="E1062" s="374"/>
      <c r="F1062" s="374"/>
      <c r="G1062" s="375">
        <f t="shared" si="36"/>
        <v>0</v>
      </c>
      <c r="H1062" s="375">
        <f t="shared" si="37"/>
        <v>0</v>
      </c>
      <c r="I1062" s="376">
        <v>0</v>
      </c>
    </row>
    <row r="1063" spans="1:9" x14ac:dyDescent="0.25">
      <c r="A1063" s="373">
        <v>153</v>
      </c>
      <c r="B1063" s="374">
        <f>NT!C174</f>
        <v>163</v>
      </c>
      <c r="C1063" s="374">
        <f>NT!D174</f>
        <v>0</v>
      </c>
      <c r="D1063" s="374">
        <v>0</v>
      </c>
      <c r="E1063" s="374"/>
      <c r="F1063" s="374"/>
      <c r="G1063" s="375">
        <f t="shared" si="36"/>
        <v>0</v>
      </c>
      <c r="H1063" s="375">
        <f t="shared" si="37"/>
        <v>0</v>
      </c>
      <c r="I1063" s="376">
        <v>0</v>
      </c>
    </row>
    <row r="1064" spans="1:9" x14ac:dyDescent="0.25">
      <c r="A1064" s="373">
        <v>153</v>
      </c>
      <c r="B1064" s="374">
        <f>NT!C175</f>
        <v>164</v>
      </c>
      <c r="C1064" s="374">
        <f>NT!D175</f>
        <v>0</v>
      </c>
      <c r="D1064" s="374">
        <v>0</v>
      </c>
      <c r="E1064" s="374"/>
      <c r="F1064" s="374"/>
      <c r="G1064" s="375">
        <f t="shared" si="36"/>
        <v>0</v>
      </c>
      <c r="H1064" s="375">
        <f t="shared" si="37"/>
        <v>0</v>
      </c>
      <c r="I1064" s="376">
        <v>0</v>
      </c>
    </row>
    <row r="1065" spans="1:9" x14ac:dyDescent="0.25">
      <c r="A1065" s="373">
        <v>153</v>
      </c>
      <c r="B1065" s="374">
        <f>NT!C176</f>
        <v>165</v>
      </c>
      <c r="C1065" s="374">
        <f>NT!D176</f>
        <v>0</v>
      </c>
      <c r="D1065" s="374">
        <v>0</v>
      </c>
      <c r="E1065" s="374"/>
      <c r="F1065" s="374"/>
      <c r="G1065" s="375">
        <f t="shared" si="36"/>
        <v>0</v>
      </c>
      <c r="H1065" s="375">
        <f t="shared" si="37"/>
        <v>0</v>
      </c>
      <c r="I1065" s="376">
        <v>0</v>
      </c>
    </row>
    <row r="1066" spans="1:9" x14ac:dyDescent="0.25">
      <c r="A1066" s="373">
        <v>153</v>
      </c>
      <c r="B1066" s="374">
        <f>NT!C177</f>
        <v>166</v>
      </c>
      <c r="C1066" s="374">
        <f>NT!D177</f>
        <v>0</v>
      </c>
      <c r="D1066" s="374">
        <v>0</v>
      </c>
      <c r="E1066" s="374"/>
      <c r="F1066" s="374"/>
      <c r="G1066" s="375">
        <f t="shared" si="36"/>
        <v>0</v>
      </c>
      <c r="H1066" s="375">
        <f t="shared" si="37"/>
        <v>0</v>
      </c>
      <c r="I1066" s="376">
        <v>0</v>
      </c>
    </row>
    <row r="1067" spans="1:9" x14ac:dyDescent="0.25">
      <c r="A1067" s="373">
        <v>153</v>
      </c>
      <c r="B1067" s="374">
        <f>NT!C178</f>
        <v>167</v>
      </c>
      <c r="C1067" s="374">
        <f>NT!D178</f>
        <v>0</v>
      </c>
      <c r="D1067" s="374">
        <v>0</v>
      </c>
      <c r="E1067" s="374"/>
      <c r="F1067" s="374"/>
      <c r="G1067" s="375">
        <f t="shared" si="36"/>
        <v>0</v>
      </c>
      <c r="H1067" s="375">
        <f t="shared" si="37"/>
        <v>0</v>
      </c>
      <c r="I1067" s="376">
        <v>0</v>
      </c>
    </row>
    <row r="1068" spans="1:9" x14ac:dyDescent="0.25">
      <c r="A1068" s="373">
        <v>153</v>
      </c>
      <c r="B1068" s="374">
        <f>NT!C179</f>
        <v>168</v>
      </c>
      <c r="C1068" s="374">
        <f>NT!D179</f>
        <v>0</v>
      </c>
      <c r="D1068" s="374">
        <v>0</v>
      </c>
      <c r="E1068" s="374"/>
      <c r="F1068" s="374"/>
      <c r="G1068" s="375">
        <f t="shared" si="36"/>
        <v>0</v>
      </c>
      <c r="H1068" s="375">
        <f t="shared" si="37"/>
        <v>0</v>
      </c>
      <c r="I1068" s="376">
        <v>0</v>
      </c>
    </row>
    <row r="1069" spans="1:9" x14ac:dyDescent="0.25">
      <c r="A1069" s="373">
        <v>153</v>
      </c>
      <c r="B1069" s="374">
        <f>NT!C180</f>
        <v>169</v>
      </c>
      <c r="C1069" s="374">
        <f>NT!D180</f>
        <v>0</v>
      </c>
      <c r="D1069" s="374">
        <v>0</v>
      </c>
      <c r="E1069" s="374"/>
      <c r="F1069" s="374"/>
      <c r="G1069" s="375">
        <f t="shared" si="36"/>
        <v>0</v>
      </c>
      <c r="H1069" s="375">
        <f t="shared" si="37"/>
        <v>0</v>
      </c>
      <c r="I1069" s="376">
        <v>0</v>
      </c>
    </row>
    <row r="1070" spans="1:9" x14ac:dyDescent="0.25">
      <c r="A1070" s="373">
        <v>153</v>
      </c>
      <c r="B1070" s="374">
        <f>NT!C181</f>
        <v>170</v>
      </c>
      <c r="C1070" s="374">
        <f>NT!D181</f>
        <v>0</v>
      </c>
      <c r="D1070" s="374">
        <v>0</v>
      </c>
      <c r="E1070" s="374"/>
      <c r="F1070" s="374"/>
      <c r="G1070" s="375">
        <f t="shared" si="36"/>
        <v>0</v>
      </c>
      <c r="H1070" s="375">
        <f t="shared" si="37"/>
        <v>0</v>
      </c>
      <c r="I1070" s="376">
        <v>0</v>
      </c>
    </row>
    <row r="1071" spans="1:9" x14ac:dyDescent="0.25">
      <c r="A1071" s="373">
        <v>153</v>
      </c>
      <c r="B1071" s="374">
        <f>NT!C182</f>
        <v>171</v>
      </c>
      <c r="C1071" s="374">
        <f>NT!D182</f>
        <v>0</v>
      </c>
      <c r="D1071" s="374">
        <v>0</v>
      </c>
      <c r="E1071" s="374"/>
      <c r="F1071" s="374"/>
      <c r="G1071" s="375">
        <f t="shared" si="36"/>
        <v>0</v>
      </c>
      <c r="H1071" s="375">
        <f t="shared" si="37"/>
        <v>0</v>
      </c>
      <c r="I1071" s="376">
        <v>0</v>
      </c>
    </row>
    <row r="1072" spans="1:9" x14ac:dyDescent="0.25">
      <c r="A1072" s="373">
        <v>153</v>
      </c>
      <c r="B1072" s="374">
        <f>NT!C183</f>
        <v>172</v>
      </c>
      <c r="C1072" s="374">
        <f>NT!D183</f>
        <v>0</v>
      </c>
      <c r="D1072" s="374">
        <v>0</v>
      </c>
      <c r="E1072" s="374"/>
      <c r="F1072" s="374"/>
      <c r="G1072" s="375">
        <f t="shared" si="36"/>
        <v>0</v>
      </c>
      <c r="H1072" s="375">
        <f t="shared" si="37"/>
        <v>0</v>
      </c>
      <c r="I1072" s="376">
        <v>0</v>
      </c>
    </row>
    <row r="1073" spans="1:9" x14ac:dyDescent="0.25">
      <c r="A1073" s="373">
        <v>153</v>
      </c>
      <c r="B1073" s="374">
        <f>NT!C184</f>
        <v>173</v>
      </c>
      <c r="C1073" s="374">
        <f>NT!D184</f>
        <v>0</v>
      </c>
      <c r="D1073" s="374">
        <v>0</v>
      </c>
      <c r="E1073" s="374"/>
      <c r="F1073" s="374"/>
      <c r="G1073" s="375">
        <f t="shared" si="36"/>
        <v>0</v>
      </c>
      <c r="H1073" s="375">
        <f t="shared" si="37"/>
        <v>0</v>
      </c>
      <c r="I1073" s="376">
        <v>0</v>
      </c>
    </row>
    <row r="1074" spans="1:9" x14ac:dyDescent="0.25">
      <c r="A1074" s="373">
        <v>153</v>
      </c>
      <c r="B1074" s="374">
        <f>NT!C185</f>
        <v>174</v>
      </c>
      <c r="C1074" s="374">
        <f>NT!D185</f>
        <v>0</v>
      </c>
      <c r="D1074" s="374">
        <v>0</v>
      </c>
      <c r="E1074" s="374"/>
      <c r="F1074" s="374"/>
      <c r="G1074" s="375">
        <f t="shared" si="36"/>
        <v>0</v>
      </c>
      <c r="H1074" s="375">
        <f t="shared" si="37"/>
        <v>0</v>
      </c>
      <c r="I1074" s="376">
        <v>0</v>
      </c>
    </row>
    <row r="1075" spans="1:9" x14ac:dyDescent="0.25">
      <c r="A1075" s="373">
        <v>153</v>
      </c>
      <c r="B1075" s="374">
        <f>NT!C186</f>
        <v>175</v>
      </c>
      <c r="C1075" s="374">
        <f>NT!D186</f>
        <v>0</v>
      </c>
      <c r="D1075" s="374">
        <v>0</v>
      </c>
      <c r="E1075" s="374"/>
      <c r="F1075" s="374"/>
      <c r="G1075" s="375">
        <f t="shared" si="36"/>
        <v>0</v>
      </c>
      <c r="H1075" s="375">
        <f t="shared" si="37"/>
        <v>0</v>
      </c>
      <c r="I1075" s="376">
        <v>0</v>
      </c>
    </row>
    <row r="1076" spans="1:9" x14ac:dyDescent="0.25">
      <c r="A1076" s="373">
        <v>153</v>
      </c>
      <c r="B1076" s="374">
        <f>NT!C187</f>
        <v>176</v>
      </c>
      <c r="C1076" s="374">
        <f>NT!D187</f>
        <v>0</v>
      </c>
      <c r="D1076" s="374">
        <v>0</v>
      </c>
      <c r="E1076" s="374"/>
      <c r="F1076" s="374"/>
      <c r="G1076" s="375">
        <f t="shared" si="36"/>
        <v>0</v>
      </c>
      <c r="H1076" s="375">
        <f t="shared" si="37"/>
        <v>0</v>
      </c>
      <c r="I1076" s="376">
        <v>0</v>
      </c>
    </row>
    <row r="1077" spans="1:9" x14ac:dyDescent="0.25">
      <c r="A1077" s="373">
        <v>153</v>
      </c>
      <c r="B1077" s="374">
        <f>NT!C188</f>
        <v>177</v>
      </c>
      <c r="C1077" s="374">
        <f>NT!D188</f>
        <v>0</v>
      </c>
      <c r="D1077" s="374">
        <v>0</v>
      </c>
      <c r="E1077" s="374"/>
      <c r="F1077" s="374"/>
      <c r="G1077" s="375">
        <f t="shared" si="36"/>
        <v>0</v>
      </c>
      <c r="H1077" s="375">
        <f t="shared" si="37"/>
        <v>0</v>
      </c>
      <c r="I1077" s="376">
        <v>0</v>
      </c>
    </row>
    <row r="1078" spans="1:9" x14ac:dyDescent="0.25">
      <c r="A1078" s="373">
        <v>153</v>
      </c>
      <c r="B1078" s="374">
        <f>NT!C189</f>
        <v>178</v>
      </c>
      <c r="C1078" s="374">
        <f>NT!D189</f>
        <v>0</v>
      </c>
      <c r="D1078" s="374">
        <v>0</v>
      </c>
      <c r="E1078" s="374"/>
      <c r="F1078" s="374"/>
      <c r="G1078" s="375">
        <f t="shared" si="36"/>
        <v>0</v>
      </c>
      <c r="H1078" s="375">
        <f t="shared" si="37"/>
        <v>0</v>
      </c>
      <c r="I1078" s="376">
        <v>0</v>
      </c>
    </row>
    <row r="1079" spans="1:9" x14ac:dyDescent="0.25">
      <c r="A1079" s="373">
        <v>153</v>
      </c>
      <c r="B1079" s="374">
        <f>NT!C190</f>
        <v>179</v>
      </c>
      <c r="C1079" s="374">
        <f>NT!D190</f>
        <v>0</v>
      </c>
      <c r="D1079" s="374">
        <v>0</v>
      </c>
      <c r="E1079" s="374"/>
      <c r="F1079" s="374"/>
      <c r="G1079" s="375">
        <f t="shared" si="36"/>
        <v>0</v>
      </c>
      <c r="H1079" s="375">
        <f t="shared" si="37"/>
        <v>0</v>
      </c>
      <c r="I1079" s="376">
        <v>0</v>
      </c>
    </row>
    <row r="1080" spans="1:9" x14ac:dyDescent="0.25">
      <c r="A1080" s="373">
        <v>153</v>
      </c>
      <c r="B1080" s="374">
        <f>NT!C191</f>
        <v>180</v>
      </c>
      <c r="C1080" s="374">
        <f>NT!D191</f>
        <v>0</v>
      </c>
      <c r="D1080" s="374">
        <v>0</v>
      </c>
      <c r="E1080" s="374"/>
      <c r="F1080" s="374"/>
      <c r="G1080" s="375">
        <f t="shared" si="36"/>
        <v>0</v>
      </c>
      <c r="H1080" s="375">
        <f t="shared" si="37"/>
        <v>0</v>
      </c>
      <c r="I1080" s="376">
        <v>0</v>
      </c>
    </row>
    <row r="1081" spans="1:9" x14ac:dyDescent="0.25">
      <c r="A1081" s="373">
        <v>153</v>
      </c>
      <c r="B1081" s="374">
        <f>NT!C192</f>
        <v>181</v>
      </c>
      <c r="C1081" s="374">
        <f>NT!D192</f>
        <v>0</v>
      </c>
      <c r="D1081" s="374">
        <v>0</v>
      </c>
      <c r="E1081" s="374"/>
      <c r="F1081" s="374"/>
      <c r="G1081" s="375">
        <f t="shared" si="36"/>
        <v>0</v>
      </c>
      <c r="H1081" s="375">
        <f t="shared" si="37"/>
        <v>0</v>
      </c>
      <c r="I1081" s="376">
        <v>0</v>
      </c>
    </row>
    <row r="1082" spans="1:9" x14ac:dyDescent="0.25">
      <c r="A1082" s="373">
        <v>153</v>
      </c>
      <c r="B1082" s="374">
        <f>NT!C193</f>
        <v>182</v>
      </c>
      <c r="C1082" s="374">
        <f>NT!D193</f>
        <v>0</v>
      </c>
      <c r="D1082" s="374">
        <v>0</v>
      </c>
      <c r="E1082" s="374"/>
      <c r="F1082" s="374"/>
      <c r="G1082" s="375">
        <f t="shared" si="36"/>
        <v>0</v>
      </c>
      <c r="H1082" s="375">
        <f t="shared" si="37"/>
        <v>0</v>
      </c>
      <c r="I1082" s="376">
        <v>0</v>
      </c>
    </row>
    <row r="1083" spans="1:9" x14ac:dyDescent="0.25">
      <c r="A1083" s="373">
        <v>153</v>
      </c>
      <c r="B1083" s="374">
        <f>NT!C194</f>
        <v>183</v>
      </c>
      <c r="C1083" s="374">
        <f>NT!D194</f>
        <v>0</v>
      </c>
      <c r="D1083" s="374">
        <v>0</v>
      </c>
      <c r="E1083" s="374"/>
      <c r="F1083" s="374"/>
      <c r="G1083" s="375">
        <f t="shared" si="36"/>
        <v>0</v>
      </c>
      <c r="H1083" s="375">
        <f t="shared" si="37"/>
        <v>0</v>
      </c>
      <c r="I1083" s="376">
        <v>0</v>
      </c>
    </row>
    <row r="1084" spans="1:9" x14ac:dyDescent="0.25">
      <c r="A1084" s="373">
        <v>153</v>
      </c>
      <c r="B1084" s="374">
        <f>NT!C195</f>
        <v>184</v>
      </c>
      <c r="C1084" s="374">
        <f>NT!D195</f>
        <v>0</v>
      </c>
      <c r="D1084" s="374">
        <v>0</v>
      </c>
      <c r="E1084" s="374"/>
      <c r="F1084" s="374"/>
      <c r="G1084" s="375">
        <f t="shared" si="36"/>
        <v>0</v>
      </c>
      <c r="H1084" s="375">
        <f t="shared" si="37"/>
        <v>0</v>
      </c>
      <c r="I1084" s="376">
        <v>0</v>
      </c>
    </row>
    <row r="1085" spans="1:9" x14ac:dyDescent="0.25">
      <c r="A1085" s="373">
        <v>153</v>
      </c>
      <c r="B1085" s="374">
        <f>NT!C196</f>
        <v>185</v>
      </c>
      <c r="C1085" s="374">
        <f>NT!D196</f>
        <v>0</v>
      </c>
      <c r="D1085" s="374">
        <v>0</v>
      </c>
      <c r="E1085" s="374"/>
      <c r="F1085" s="374"/>
      <c r="G1085" s="375">
        <f t="shared" si="36"/>
        <v>0</v>
      </c>
      <c r="H1085" s="375">
        <f t="shared" si="37"/>
        <v>0</v>
      </c>
      <c r="I1085" s="376">
        <v>0</v>
      </c>
    </row>
    <row r="1086" spans="1:9" x14ac:dyDescent="0.25">
      <c r="A1086" s="373">
        <v>153</v>
      </c>
      <c r="B1086" s="374">
        <f>NT!C197</f>
        <v>186</v>
      </c>
      <c r="C1086" s="374">
        <f>NT!D197</f>
        <v>0</v>
      </c>
      <c r="D1086" s="374">
        <v>0</v>
      </c>
      <c r="E1086" s="374"/>
      <c r="F1086" s="374"/>
      <c r="G1086" s="375">
        <f t="shared" si="36"/>
        <v>0</v>
      </c>
      <c r="H1086" s="375">
        <f t="shared" si="37"/>
        <v>0</v>
      </c>
      <c r="I1086" s="376">
        <v>0</v>
      </c>
    </row>
    <row r="1087" spans="1:9" x14ac:dyDescent="0.25">
      <c r="A1087" s="373">
        <v>153</v>
      </c>
      <c r="B1087" s="374">
        <f>NT!C198</f>
        <v>187</v>
      </c>
      <c r="C1087" s="374">
        <f>NT!D198</f>
        <v>0</v>
      </c>
      <c r="D1087" s="374">
        <v>0</v>
      </c>
      <c r="E1087" s="374"/>
      <c r="F1087" s="374"/>
      <c r="G1087" s="375">
        <f t="shared" si="36"/>
        <v>0</v>
      </c>
      <c r="H1087" s="375">
        <f t="shared" si="37"/>
        <v>0</v>
      </c>
      <c r="I1087" s="376">
        <v>0</v>
      </c>
    </row>
    <row r="1088" spans="1:9" x14ac:dyDescent="0.25">
      <c r="A1088" s="373">
        <v>153</v>
      </c>
      <c r="B1088" s="374">
        <f>NT!C199</f>
        <v>188</v>
      </c>
      <c r="C1088" s="374">
        <f>NT!D199</f>
        <v>0</v>
      </c>
      <c r="D1088" s="374">
        <v>0</v>
      </c>
      <c r="E1088" s="374"/>
      <c r="F1088" s="374"/>
      <c r="G1088" s="375">
        <f t="shared" si="36"/>
        <v>0</v>
      </c>
      <c r="H1088" s="375">
        <f t="shared" si="37"/>
        <v>0</v>
      </c>
      <c r="I1088" s="376">
        <v>0</v>
      </c>
    </row>
    <row r="1089" spans="1:9" x14ac:dyDescent="0.25">
      <c r="A1089" s="373">
        <v>153</v>
      </c>
      <c r="B1089" s="374">
        <f>NT!C200</f>
        <v>189</v>
      </c>
      <c r="C1089" s="374">
        <f>NT!D200</f>
        <v>0</v>
      </c>
      <c r="D1089" s="374">
        <v>0</v>
      </c>
      <c r="E1089" s="374"/>
      <c r="F1089" s="374"/>
      <c r="G1089" s="375">
        <f t="shared" si="36"/>
        <v>0</v>
      </c>
      <c r="H1089" s="375">
        <f t="shared" si="37"/>
        <v>0</v>
      </c>
      <c r="I1089" s="376">
        <v>0</v>
      </c>
    </row>
    <row r="1090" spans="1:9" x14ac:dyDescent="0.25">
      <c r="A1090" s="373">
        <v>153</v>
      </c>
      <c r="B1090" s="374">
        <f>NT!C201</f>
        <v>190</v>
      </c>
      <c r="C1090" s="374">
        <f>NT!D201</f>
        <v>0</v>
      </c>
      <c r="D1090" s="374">
        <v>0</v>
      </c>
      <c r="E1090" s="374"/>
      <c r="F1090" s="374"/>
      <c r="G1090" s="375">
        <f t="shared" si="36"/>
        <v>0</v>
      </c>
      <c r="H1090" s="375">
        <f t="shared" si="37"/>
        <v>0</v>
      </c>
      <c r="I1090" s="376">
        <v>0</v>
      </c>
    </row>
    <row r="1091" spans="1:9" x14ac:dyDescent="0.25">
      <c r="A1091" s="373">
        <v>153</v>
      </c>
      <c r="B1091" s="374">
        <f>NT!C202</f>
        <v>191</v>
      </c>
      <c r="C1091" s="374">
        <f>NT!D202</f>
        <v>0</v>
      </c>
      <c r="D1091" s="374">
        <v>0</v>
      </c>
      <c r="E1091" s="374"/>
      <c r="F1091" s="374"/>
      <c r="G1091" s="375">
        <f t="shared" si="36"/>
        <v>0</v>
      </c>
      <c r="H1091" s="375">
        <f t="shared" si="37"/>
        <v>0</v>
      </c>
      <c r="I1091" s="376">
        <v>0</v>
      </c>
    </row>
    <row r="1092" spans="1:9" x14ac:dyDescent="0.25">
      <c r="A1092" s="373">
        <v>153</v>
      </c>
      <c r="B1092" s="374">
        <f>NT!C203</f>
        <v>192</v>
      </c>
      <c r="C1092" s="374">
        <f>NT!D203</f>
        <v>0</v>
      </c>
      <c r="D1092" s="374">
        <v>0</v>
      </c>
      <c r="E1092" s="374"/>
      <c r="F1092" s="374"/>
      <c r="G1092" s="375">
        <f t="shared" si="36"/>
        <v>0</v>
      </c>
      <c r="H1092" s="375">
        <f t="shared" si="37"/>
        <v>0</v>
      </c>
      <c r="I1092" s="376">
        <v>0</v>
      </c>
    </row>
    <row r="1093" spans="1:9" x14ac:dyDescent="0.25">
      <c r="A1093" s="373">
        <v>153</v>
      </c>
      <c r="B1093" s="374">
        <f>NT!C204</f>
        <v>193</v>
      </c>
      <c r="C1093" s="374">
        <f>NT!D204</f>
        <v>0</v>
      </c>
      <c r="D1093" s="374">
        <v>0</v>
      </c>
      <c r="E1093" s="374"/>
      <c r="F1093" s="374"/>
      <c r="G1093" s="375">
        <f t="shared" si="36"/>
        <v>0</v>
      </c>
      <c r="H1093" s="375">
        <f t="shared" si="37"/>
        <v>0</v>
      </c>
      <c r="I1093" s="376">
        <v>0</v>
      </c>
    </row>
    <row r="1094" spans="1:9" x14ac:dyDescent="0.25">
      <c r="A1094" s="373">
        <v>153</v>
      </c>
      <c r="B1094" s="374">
        <f>NT!C205</f>
        <v>194</v>
      </c>
      <c r="C1094" s="374">
        <f>NT!D205</f>
        <v>0</v>
      </c>
      <c r="D1094" s="374">
        <v>0</v>
      </c>
      <c r="E1094" s="374"/>
      <c r="F1094" s="374"/>
      <c r="G1094" s="375">
        <f t="shared" si="36"/>
        <v>0</v>
      </c>
      <c r="H1094" s="375">
        <f t="shared" si="37"/>
        <v>0</v>
      </c>
      <c r="I1094" s="376">
        <v>0</v>
      </c>
    </row>
    <row r="1095" spans="1:9" x14ac:dyDescent="0.25">
      <c r="A1095" s="373">
        <v>153</v>
      </c>
      <c r="B1095" s="374">
        <f>NT!C206</f>
        <v>195</v>
      </c>
      <c r="C1095" s="374">
        <f>NT!D206</f>
        <v>62518</v>
      </c>
      <c r="D1095" s="374">
        <v>0</v>
      </c>
      <c r="E1095" s="374"/>
      <c r="F1095" s="374"/>
      <c r="G1095" s="375">
        <f t="shared" si="36"/>
        <v>12191.01</v>
      </c>
      <c r="H1095" s="375">
        <f t="shared" si="37"/>
        <v>0</v>
      </c>
      <c r="I1095" s="376">
        <v>0</v>
      </c>
    </row>
    <row r="1096" spans="1:9" x14ac:dyDescent="0.25">
      <c r="A1096" s="373">
        <v>153</v>
      </c>
      <c r="B1096" s="374">
        <f>NT!C207</f>
        <v>196</v>
      </c>
      <c r="C1096" s="374">
        <f>NT!D207</f>
        <v>0</v>
      </c>
      <c r="D1096" s="374">
        <v>0</v>
      </c>
      <c r="E1096" s="374"/>
      <c r="F1096" s="374"/>
      <c r="G1096" s="375">
        <f t="shared" si="36"/>
        <v>0</v>
      </c>
      <c r="H1096" s="375">
        <f t="shared" si="37"/>
        <v>0</v>
      </c>
      <c r="I1096" s="376">
        <v>0</v>
      </c>
    </row>
    <row r="1097" spans="1:9" x14ac:dyDescent="0.25">
      <c r="A1097" s="373">
        <v>153</v>
      </c>
      <c r="B1097" s="374">
        <f>NT!C208</f>
        <v>197</v>
      </c>
      <c r="C1097" s="374">
        <f>NT!D208</f>
        <v>0</v>
      </c>
      <c r="D1097" s="374">
        <v>0</v>
      </c>
      <c r="E1097" s="374"/>
      <c r="F1097" s="374"/>
      <c r="G1097" s="375">
        <f t="shared" si="36"/>
        <v>0</v>
      </c>
      <c r="H1097" s="375">
        <f t="shared" si="37"/>
        <v>0</v>
      </c>
      <c r="I1097" s="376">
        <v>0</v>
      </c>
    </row>
    <row r="1098" spans="1:9" x14ac:dyDescent="0.25">
      <c r="A1098" s="373">
        <v>153</v>
      </c>
      <c r="B1098" s="374">
        <f>NT!C209</f>
        <v>198</v>
      </c>
      <c r="C1098" s="374">
        <f>NT!D209</f>
        <v>0</v>
      </c>
      <c r="D1098" s="374">
        <v>0</v>
      </c>
      <c r="E1098" s="374"/>
      <c r="F1098" s="374"/>
      <c r="G1098" s="375">
        <f t="shared" si="36"/>
        <v>0</v>
      </c>
      <c r="H1098" s="375">
        <f t="shared" si="37"/>
        <v>0</v>
      </c>
      <c r="I1098" s="376">
        <v>0</v>
      </c>
    </row>
    <row r="1099" spans="1:9" x14ac:dyDescent="0.25">
      <c r="A1099" s="373">
        <v>153</v>
      </c>
      <c r="B1099" s="374">
        <f>NT!C210</f>
        <v>199</v>
      </c>
      <c r="C1099" s="374">
        <f>NT!D210</f>
        <v>0</v>
      </c>
      <c r="D1099" s="374">
        <v>0</v>
      </c>
      <c r="E1099" s="374"/>
      <c r="F1099" s="374"/>
      <c r="G1099" s="375">
        <f t="shared" si="36"/>
        <v>0</v>
      </c>
      <c r="H1099" s="375">
        <f t="shared" si="37"/>
        <v>0</v>
      </c>
      <c r="I1099" s="376">
        <v>0</v>
      </c>
    </row>
    <row r="1100" spans="1:9" x14ac:dyDescent="0.25">
      <c r="A1100" s="373">
        <v>153</v>
      </c>
      <c r="B1100" s="374">
        <f>NT!C211</f>
        <v>200</v>
      </c>
      <c r="C1100" s="374">
        <f>NT!D211</f>
        <v>0</v>
      </c>
      <c r="D1100" s="374">
        <v>0</v>
      </c>
      <c r="E1100" s="374"/>
      <c r="F1100" s="374"/>
      <c r="G1100" s="375">
        <f t="shared" si="36"/>
        <v>0</v>
      </c>
      <c r="H1100" s="375">
        <f t="shared" si="37"/>
        <v>0</v>
      </c>
      <c r="I1100" s="376">
        <v>0</v>
      </c>
    </row>
    <row r="1101" spans="1:9" x14ac:dyDescent="0.25">
      <c r="A1101" s="373">
        <v>153</v>
      </c>
      <c r="B1101" s="374">
        <f>NT!C212</f>
        <v>201</v>
      </c>
      <c r="C1101" s="374">
        <f>NT!D212</f>
        <v>0</v>
      </c>
      <c r="D1101" s="374">
        <v>0</v>
      </c>
      <c r="E1101" s="374"/>
      <c r="F1101" s="374"/>
      <c r="G1101" s="375">
        <f t="shared" si="36"/>
        <v>0</v>
      </c>
      <c r="H1101" s="375">
        <f t="shared" si="37"/>
        <v>0</v>
      </c>
      <c r="I1101" s="376">
        <v>0</v>
      </c>
    </row>
    <row r="1102" spans="1:9" x14ac:dyDescent="0.25">
      <c r="A1102" s="373">
        <v>153</v>
      </c>
      <c r="B1102" s="374">
        <f>NT!C213</f>
        <v>202</v>
      </c>
      <c r="C1102" s="374">
        <f>NT!D213</f>
        <v>0</v>
      </c>
      <c r="D1102" s="374">
        <v>0</v>
      </c>
      <c r="E1102" s="374"/>
      <c r="F1102" s="374"/>
      <c r="G1102" s="375">
        <f t="shared" si="36"/>
        <v>0</v>
      </c>
      <c r="H1102" s="375">
        <f t="shared" si="37"/>
        <v>0</v>
      </c>
      <c r="I1102" s="376">
        <v>0</v>
      </c>
    </row>
    <row r="1103" spans="1:9" x14ac:dyDescent="0.25">
      <c r="A1103" s="373">
        <v>153</v>
      </c>
      <c r="B1103" s="374">
        <f>NT!C214</f>
        <v>203</v>
      </c>
      <c r="C1103" s="374">
        <f>NT!D214</f>
        <v>0</v>
      </c>
      <c r="D1103" s="374">
        <v>0</v>
      </c>
      <c r="E1103" s="374"/>
      <c r="F1103" s="374"/>
      <c r="G1103" s="375">
        <f t="shared" si="36"/>
        <v>0</v>
      </c>
      <c r="H1103" s="375">
        <f t="shared" si="37"/>
        <v>0</v>
      </c>
      <c r="I1103" s="376">
        <v>0</v>
      </c>
    </row>
    <row r="1104" spans="1:9" x14ac:dyDescent="0.25">
      <c r="A1104" s="373">
        <v>153</v>
      </c>
      <c r="B1104" s="374">
        <f>NT!C215</f>
        <v>204</v>
      </c>
      <c r="C1104" s="374">
        <f>NT!D215</f>
        <v>0</v>
      </c>
      <c r="D1104" s="374">
        <v>0</v>
      </c>
      <c r="E1104" s="374"/>
      <c r="F1104" s="374"/>
      <c r="G1104" s="375">
        <f t="shared" ref="G1104:G1167" si="38">B1104/1000*C1104</f>
        <v>0</v>
      </c>
      <c r="H1104" s="375">
        <f t="shared" ref="H1104:H1167" si="39">ABS(C1104-ROUND(C1104,0))</f>
        <v>0</v>
      </c>
      <c r="I1104" s="376">
        <v>0</v>
      </c>
    </row>
    <row r="1105" spans="1:9" x14ac:dyDescent="0.25">
      <c r="A1105" s="373">
        <v>153</v>
      </c>
      <c r="B1105" s="374">
        <f>NT!C216</f>
        <v>205</v>
      </c>
      <c r="C1105" s="374">
        <f>NT!D216</f>
        <v>0</v>
      </c>
      <c r="D1105" s="374">
        <v>0</v>
      </c>
      <c r="E1105" s="374"/>
      <c r="F1105" s="374"/>
      <c r="G1105" s="375">
        <f t="shared" si="38"/>
        <v>0</v>
      </c>
      <c r="H1105" s="375">
        <f t="shared" si="39"/>
        <v>0</v>
      </c>
      <c r="I1105" s="376">
        <v>0</v>
      </c>
    </row>
    <row r="1106" spans="1:9" x14ac:dyDescent="0.25">
      <c r="A1106" s="373">
        <v>153</v>
      </c>
      <c r="B1106" s="374">
        <f>NT!C217</f>
        <v>206</v>
      </c>
      <c r="C1106" s="374">
        <f>NT!D217</f>
        <v>0</v>
      </c>
      <c r="D1106" s="374">
        <v>0</v>
      </c>
      <c r="E1106" s="374"/>
      <c r="F1106" s="374"/>
      <c r="G1106" s="375">
        <f t="shared" si="38"/>
        <v>0</v>
      </c>
      <c r="H1106" s="375">
        <f t="shared" si="39"/>
        <v>0</v>
      </c>
      <c r="I1106" s="376">
        <v>0</v>
      </c>
    </row>
    <row r="1107" spans="1:9" x14ac:dyDescent="0.25">
      <c r="A1107" s="373">
        <v>153</v>
      </c>
      <c r="B1107" s="374">
        <f>NT!C218</f>
        <v>207</v>
      </c>
      <c r="C1107" s="374">
        <f>NT!D218</f>
        <v>0</v>
      </c>
      <c r="D1107" s="374">
        <v>0</v>
      </c>
      <c r="E1107" s="374"/>
      <c r="F1107" s="374"/>
      <c r="G1107" s="375">
        <f t="shared" si="38"/>
        <v>0</v>
      </c>
      <c r="H1107" s="375">
        <f t="shared" si="39"/>
        <v>0</v>
      </c>
      <c r="I1107" s="376">
        <v>0</v>
      </c>
    </row>
    <row r="1108" spans="1:9" x14ac:dyDescent="0.25">
      <c r="A1108" s="373">
        <v>153</v>
      </c>
      <c r="B1108" s="374">
        <f>NT!C219</f>
        <v>208</v>
      </c>
      <c r="C1108" s="374">
        <f>NT!D219</f>
        <v>94875</v>
      </c>
      <c r="D1108" s="374">
        <v>0</v>
      </c>
      <c r="E1108" s="374"/>
      <c r="F1108" s="374"/>
      <c r="G1108" s="375">
        <f t="shared" si="38"/>
        <v>19734</v>
      </c>
      <c r="H1108" s="375">
        <f t="shared" si="39"/>
        <v>0</v>
      </c>
      <c r="I1108" s="376">
        <v>0</v>
      </c>
    </row>
    <row r="1109" spans="1:9" x14ac:dyDescent="0.25">
      <c r="A1109" s="373">
        <v>153</v>
      </c>
      <c r="B1109" s="374">
        <f>NT!C220</f>
        <v>209</v>
      </c>
      <c r="C1109" s="374">
        <f>NT!D220</f>
        <v>0</v>
      </c>
      <c r="D1109" s="374">
        <v>0</v>
      </c>
      <c r="E1109" s="374"/>
      <c r="F1109" s="374"/>
      <c r="G1109" s="375">
        <f t="shared" si="38"/>
        <v>0</v>
      </c>
      <c r="H1109" s="375">
        <f t="shared" si="39"/>
        <v>0</v>
      </c>
      <c r="I1109" s="376">
        <v>0</v>
      </c>
    </row>
    <row r="1110" spans="1:9" x14ac:dyDescent="0.25">
      <c r="A1110" s="373">
        <v>153</v>
      </c>
      <c r="B1110" s="374">
        <f>NT!C221</f>
        <v>210</v>
      </c>
      <c r="C1110" s="374">
        <f>NT!D221</f>
        <v>0</v>
      </c>
      <c r="D1110" s="374">
        <v>0</v>
      </c>
      <c r="E1110" s="374"/>
      <c r="F1110" s="374"/>
      <c r="G1110" s="375">
        <f t="shared" si="38"/>
        <v>0</v>
      </c>
      <c r="H1110" s="375">
        <f t="shared" si="39"/>
        <v>0</v>
      </c>
      <c r="I1110" s="376">
        <v>0</v>
      </c>
    </row>
    <row r="1111" spans="1:9" x14ac:dyDescent="0.25">
      <c r="A1111" s="373">
        <v>153</v>
      </c>
      <c r="B1111" s="374">
        <f>NT!C222</f>
        <v>211</v>
      </c>
      <c r="C1111" s="374">
        <f>NT!D222</f>
        <v>0</v>
      </c>
      <c r="D1111" s="374">
        <v>0</v>
      </c>
      <c r="E1111" s="374"/>
      <c r="F1111" s="374"/>
      <c r="G1111" s="375">
        <f t="shared" si="38"/>
        <v>0</v>
      </c>
      <c r="H1111" s="375">
        <f t="shared" si="39"/>
        <v>0</v>
      </c>
      <c r="I1111" s="376">
        <v>0</v>
      </c>
    </row>
    <row r="1112" spans="1:9" x14ac:dyDescent="0.25">
      <c r="A1112" s="373">
        <v>153</v>
      </c>
      <c r="B1112" s="374">
        <f>NT!C223</f>
        <v>212</v>
      </c>
      <c r="C1112" s="374">
        <f>NT!D223</f>
        <v>0</v>
      </c>
      <c r="D1112" s="374">
        <v>0</v>
      </c>
      <c r="E1112" s="374"/>
      <c r="F1112" s="374"/>
      <c r="G1112" s="375">
        <f t="shared" si="38"/>
        <v>0</v>
      </c>
      <c r="H1112" s="375">
        <f t="shared" si="39"/>
        <v>0</v>
      </c>
      <c r="I1112" s="376">
        <v>0</v>
      </c>
    </row>
    <row r="1113" spans="1:9" x14ac:dyDescent="0.25">
      <c r="A1113" s="373">
        <v>153</v>
      </c>
      <c r="B1113" s="374">
        <f>NT!C224</f>
        <v>213</v>
      </c>
      <c r="C1113" s="374">
        <f>NT!D224</f>
        <v>0</v>
      </c>
      <c r="D1113" s="374">
        <v>0</v>
      </c>
      <c r="E1113" s="374"/>
      <c r="F1113" s="374"/>
      <c r="G1113" s="375">
        <f t="shared" si="38"/>
        <v>0</v>
      </c>
      <c r="H1113" s="375">
        <f t="shared" si="39"/>
        <v>0</v>
      </c>
      <c r="I1113" s="376">
        <v>0</v>
      </c>
    </row>
    <row r="1114" spans="1:9" x14ac:dyDescent="0.25">
      <c r="A1114" s="373">
        <v>153</v>
      </c>
      <c r="B1114" s="374">
        <f>NT!C225</f>
        <v>214</v>
      </c>
      <c r="C1114" s="374">
        <f>NT!D225</f>
        <v>0</v>
      </c>
      <c r="D1114" s="374">
        <v>0</v>
      </c>
      <c r="E1114" s="374"/>
      <c r="F1114" s="374"/>
      <c r="G1114" s="375">
        <f t="shared" si="38"/>
        <v>0</v>
      </c>
      <c r="H1114" s="375">
        <f t="shared" si="39"/>
        <v>0</v>
      </c>
      <c r="I1114" s="376">
        <v>0</v>
      </c>
    </row>
    <row r="1115" spans="1:9" x14ac:dyDescent="0.25">
      <c r="A1115" s="373">
        <v>153</v>
      </c>
      <c r="B1115" s="374">
        <f>NT!C226</f>
        <v>215</v>
      </c>
      <c r="C1115" s="374">
        <f>NT!D226</f>
        <v>0</v>
      </c>
      <c r="D1115" s="374">
        <v>0</v>
      </c>
      <c r="E1115" s="374"/>
      <c r="F1115" s="374"/>
      <c r="G1115" s="375">
        <f t="shared" si="38"/>
        <v>0</v>
      </c>
      <c r="H1115" s="375">
        <f t="shared" si="39"/>
        <v>0</v>
      </c>
      <c r="I1115" s="376">
        <v>0</v>
      </c>
    </row>
    <row r="1116" spans="1:9" x14ac:dyDescent="0.25">
      <c r="A1116" s="373">
        <v>153</v>
      </c>
      <c r="B1116" s="374">
        <f>NT!C227</f>
        <v>216</v>
      </c>
      <c r="C1116" s="374">
        <f>NT!D227</f>
        <v>94875</v>
      </c>
      <c r="D1116" s="374">
        <v>0</v>
      </c>
      <c r="E1116" s="374"/>
      <c r="F1116" s="374"/>
      <c r="G1116" s="375">
        <f t="shared" si="38"/>
        <v>20493</v>
      </c>
      <c r="H1116" s="375">
        <f t="shared" si="39"/>
        <v>0</v>
      </c>
      <c r="I1116" s="376">
        <v>0</v>
      </c>
    </row>
    <row r="1117" spans="1:9" x14ac:dyDescent="0.25">
      <c r="A1117" s="373">
        <v>153</v>
      </c>
      <c r="B1117" s="374">
        <f>NT!C228</f>
        <v>217</v>
      </c>
      <c r="C1117" s="374">
        <f>NT!D228</f>
        <v>126855</v>
      </c>
      <c r="D1117" s="374">
        <v>0</v>
      </c>
      <c r="E1117" s="374"/>
      <c r="F1117" s="374"/>
      <c r="G1117" s="375">
        <f t="shared" si="38"/>
        <v>27527.535</v>
      </c>
      <c r="H1117" s="375">
        <f t="shared" si="39"/>
        <v>0</v>
      </c>
      <c r="I1117" s="376">
        <v>0</v>
      </c>
    </row>
    <row r="1118" spans="1:9" x14ac:dyDescent="0.25">
      <c r="A1118" s="373">
        <v>153</v>
      </c>
      <c r="B1118" s="374">
        <f>NT!C229</f>
        <v>218</v>
      </c>
      <c r="C1118" s="374">
        <f>NT!D229</f>
        <v>0</v>
      </c>
      <c r="D1118" s="374">
        <v>0</v>
      </c>
      <c r="E1118" s="374"/>
      <c r="F1118" s="374"/>
      <c r="G1118" s="375">
        <f t="shared" si="38"/>
        <v>0</v>
      </c>
      <c r="H1118" s="375">
        <f t="shared" si="39"/>
        <v>0</v>
      </c>
      <c r="I1118" s="376">
        <v>0</v>
      </c>
    </row>
    <row r="1119" spans="1:9" x14ac:dyDescent="0.25">
      <c r="A1119" s="373">
        <v>153</v>
      </c>
      <c r="B1119" s="374">
        <f>NT!C230</f>
        <v>219</v>
      </c>
      <c r="C1119" s="374">
        <f>NT!D230</f>
        <v>0</v>
      </c>
      <c r="D1119" s="374">
        <v>0</v>
      </c>
      <c r="E1119" s="374"/>
      <c r="F1119" s="374"/>
      <c r="G1119" s="375">
        <f t="shared" si="38"/>
        <v>0</v>
      </c>
      <c r="H1119" s="375">
        <f t="shared" si="39"/>
        <v>0</v>
      </c>
      <c r="I1119" s="376">
        <v>0</v>
      </c>
    </row>
    <row r="1120" spans="1:9" x14ac:dyDescent="0.25">
      <c r="A1120" s="373">
        <v>153</v>
      </c>
      <c r="B1120" s="374">
        <f>NT!C231</f>
        <v>220</v>
      </c>
      <c r="C1120" s="374">
        <f>NT!D231</f>
        <v>0</v>
      </c>
      <c r="D1120" s="374">
        <v>0</v>
      </c>
      <c r="E1120" s="374"/>
      <c r="F1120" s="374"/>
      <c r="G1120" s="375">
        <f t="shared" si="38"/>
        <v>0</v>
      </c>
      <c r="H1120" s="375">
        <f t="shared" si="39"/>
        <v>0</v>
      </c>
      <c r="I1120" s="376">
        <v>0</v>
      </c>
    </row>
    <row r="1121" spans="1:9" x14ac:dyDescent="0.25">
      <c r="A1121" s="373">
        <v>153</v>
      </c>
      <c r="B1121" s="374">
        <f>NT!C232</f>
        <v>221</v>
      </c>
      <c r="C1121" s="374">
        <f>NT!D232</f>
        <v>0</v>
      </c>
      <c r="D1121" s="374">
        <v>0</v>
      </c>
      <c r="E1121" s="374"/>
      <c r="F1121" s="374"/>
      <c r="G1121" s="375">
        <f t="shared" si="38"/>
        <v>0</v>
      </c>
      <c r="H1121" s="375">
        <f t="shared" si="39"/>
        <v>0</v>
      </c>
      <c r="I1121" s="376">
        <v>0</v>
      </c>
    </row>
    <row r="1122" spans="1:9" x14ac:dyDescent="0.25">
      <c r="A1122" s="373">
        <v>153</v>
      </c>
      <c r="B1122" s="374">
        <f>NT!C233</f>
        <v>222</v>
      </c>
      <c r="C1122" s="374">
        <f>NT!D233</f>
        <v>0</v>
      </c>
      <c r="D1122" s="374">
        <v>0</v>
      </c>
      <c r="E1122" s="374"/>
      <c r="F1122" s="374"/>
      <c r="G1122" s="375">
        <f t="shared" si="38"/>
        <v>0</v>
      </c>
      <c r="H1122" s="375">
        <f t="shared" si="39"/>
        <v>0</v>
      </c>
      <c r="I1122" s="376">
        <v>0</v>
      </c>
    </row>
    <row r="1123" spans="1:9" x14ac:dyDescent="0.25">
      <c r="A1123" s="373">
        <v>153</v>
      </c>
      <c r="B1123" s="374">
        <f>NT!C234</f>
        <v>223</v>
      </c>
      <c r="C1123" s="374">
        <f>NT!D234</f>
        <v>126855</v>
      </c>
      <c r="D1123" s="374">
        <v>0</v>
      </c>
      <c r="E1123" s="374"/>
      <c r="F1123" s="374"/>
      <c r="G1123" s="375">
        <f t="shared" si="38"/>
        <v>28288.665000000001</v>
      </c>
      <c r="H1123" s="375">
        <f t="shared" si="39"/>
        <v>0</v>
      </c>
      <c r="I1123" s="376">
        <v>0</v>
      </c>
    </row>
    <row r="1124" spans="1:9" x14ac:dyDescent="0.25">
      <c r="A1124" s="373">
        <v>153</v>
      </c>
      <c r="B1124" s="374">
        <f>NT!C235</f>
        <v>224</v>
      </c>
      <c r="C1124" s="374">
        <f>NT!D235</f>
        <v>0</v>
      </c>
      <c r="D1124" s="374">
        <v>0</v>
      </c>
      <c r="E1124" s="374"/>
      <c r="F1124" s="374"/>
      <c r="G1124" s="375">
        <f t="shared" si="38"/>
        <v>0</v>
      </c>
      <c r="H1124" s="375">
        <f t="shared" si="39"/>
        <v>0</v>
      </c>
      <c r="I1124" s="376">
        <v>0</v>
      </c>
    </row>
    <row r="1125" spans="1:9" x14ac:dyDescent="0.25">
      <c r="A1125" s="373">
        <v>153</v>
      </c>
      <c r="B1125" s="374">
        <f>NT!C236</f>
        <v>225</v>
      </c>
      <c r="C1125" s="374">
        <f>NT!D236</f>
        <v>31980</v>
      </c>
      <c r="D1125" s="374">
        <v>0</v>
      </c>
      <c r="E1125" s="374"/>
      <c r="F1125" s="374"/>
      <c r="G1125" s="375">
        <f t="shared" si="38"/>
        <v>7195.5</v>
      </c>
      <c r="H1125" s="375">
        <f t="shared" si="39"/>
        <v>0</v>
      </c>
      <c r="I1125" s="376">
        <v>0</v>
      </c>
    </row>
    <row r="1126" spans="1:9" x14ac:dyDescent="0.25">
      <c r="A1126" s="373">
        <v>153</v>
      </c>
      <c r="B1126" s="374">
        <f>NT!C237</f>
        <v>226</v>
      </c>
      <c r="C1126" s="374">
        <f>NT!D237</f>
        <v>0</v>
      </c>
      <c r="D1126" s="374">
        <v>0</v>
      </c>
      <c r="E1126" s="374"/>
      <c r="F1126" s="374"/>
      <c r="G1126" s="375">
        <f t="shared" si="38"/>
        <v>0</v>
      </c>
      <c r="H1126" s="375">
        <f t="shared" si="39"/>
        <v>0</v>
      </c>
      <c r="I1126" s="376">
        <v>0</v>
      </c>
    </row>
    <row r="1127" spans="1:9" x14ac:dyDescent="0.25">
      <c r="A1127" s="373">
        <v>153</v>
      </c>
      <c r="B1127" s="374">
        <f>NT!C238</f>
        <v>227</v>
      </c>
      <c r="C1127" s="374">
        <f>NT!D238</f>
        <v>38334</v>
      </c>
      <c r="D1127" s="374">
        <v>0</v>
      </c>
      <c r="E1127" s="374"/>
      <c r="F1127" s="374"/>
      <c r="G1127" s="375">
        <f t="shared" si="38"/>
        <v>8701.8180000000011</v>
      </c>
      <c r="H1127" s="375">
        <f t="shared" si="39"/>
        <v>0</v>
      </c>
      <c r="I1127" s="376">
        <v>0</v>
      </c>
    </row>
    <row r="1128" spans="1:9" x14ac:dyDescent="0.25">
      <c r="A1128" s="373">
        <v>153</v>
      </c>
      <c r="B1128" s="374">
        <f>NT!C239</f>
        <v>228</v>
      </c>
      <c r="C1128" s="374">
        <f>NT!D239</f>
        <v>476121</v>
      </c>
      <c r="D1128" s="374">
        <v>0</v>
      </c>
      <c r="E1128" s="374"/>
      <c r="F1128" s="374"/>
      <c r="G1128" s="375">
        <f t="shared" si="38"/>
        <v>108555.588</v>
      </c>
      <c r="H1128" s="375">
        <f t="shared" si="39"/>
        <v>0</v>
      </c>
      <c r="I1128" s="376">
        <v>0</v>
      </c>
    </row>
    <row r="1129" spans="1:9" x14ac:dyDescent="0.25">
      <c r="A1129" s="373">
        <v>153</v>
      </c>
      <c r="B1129" s="374">
        <f>NT!C240</f>
        <v>229</v>
      </c>
      <c r="C1129" s="374">
        <f>NT!D240</f>
        <v>437787</v>
      </c>
      <c r="D1129" s="374">
        <v>0</v>
      </c>
      <c r="E1129" s="374"/>
      <c r="F1129" s="374"/>
      <c r="G1129" s="375">
        <f t="shared" si="38"/>
        <v>100253.223</v>
      </c>
      <c r="H1129" s="375">
        <f t="shared" si="39"/>
        <v>0</v>
      </c>
      <c r="I1129" s="376">
        <v>0</v>
      </c>
    </row>
    <row r="1130" spans="1:9" x14ac:dyDescent="0.25">
      <c r="A1130" s="373">
        <v>153</v>
      </c>
      <c r="B1130" s="374">
        <f>NT!C241</f>
        <v>230</v>
      </c>
      <c r="C1130" s="374">
        <f>NT!D241</f>
        <v>0</v>
      </c>
      <c r="D1130" s="374">
        <v>0</v>
      </c>
      <c r="E1130" s="374"/>
      <c r="F1130" s="374"/>
      <c r="G1130" s="375">
        <f t="shared" si="38"/>
        <v>0</v>
      </c>
      <c r="H1130" s="375">
        <f t="shared" si="39"/>
        <v>0</v>
      </c>
      <c r="I1130" s="376">
        <v>0</v>
      </c>
    </row>
    <row r="1131" spans="1:9" x14ac:dyDescent="0.25">
      <c r="A1131" s="373">
        <v>153</v>
      </c>
      <c r="B1131" s="374">
        <f>NT!C242</f>
        <v>231</v>
      </c>
      <c r="C1131" s="374">
        <f>NT!D242</f>
        <v>38334</v>
      </c>
      <c r="D1131" s="374">
        <v>0</v>
      </c>
      <c r="E1131" s="374"/>
      <c r="F1131" s="374"/>
      <c r="G1131" s="375">
        <f t="shared" si="38"/>
        <v>8855.1540000000005</v>
      </c>
      <c r="H1131" s="375">
        <f t="shared" si="39"/>
        <v>0</v>
      </c>
      <c r="I1131" s="376">
        <v>0</v>
      </c>
    </row>
    <row r="1132" spans="1:9" x14ac:dyDescent="0.25">
      <c r="A1132" s="373">
        <v>153</v>
      </c>
      <c r="B1132" s="374">
        <f>NT!C244</f>
        <v>232</v>
      </c>
      <c r="C1132" s="374">
        <f>NT!D244</f>
        <v>0</v>
      </c>
      <c r="D1132" s="374">
        <v>0</v>
      </c>
      <c r="E1132" s="374"/>
      <c r="F1132" s="374"/>
      <c r="G1132" s="375">
        <f t="shared" si="38"/>
        <v>0</v>
      </c>
      <c r="H1132" s="375">
        <f t="shared" si="39"/>
        <v>0</v>
      </c>
      <c r="I1132" s="376">
        <v>0</v>
      </c>
    </row>
    <row r="1133" spans="1:9" x14ac:dyDescent="0.25">
      <c r="A1133" s="373">
        <v>153</v>
      </c>
      <c r="B1133" s="374">
        <f>NT!C245</f>
        <v>233</v>
      </c>
      <c r="C1133" s="374">
        <f>NT!D245</f>
        <v>0</v>
      </c>
      <c r="D1133" s="374">
        <v>0</v>
      </c>
      <c r="E1133" s="374"/>
      <c r="F1133" s="374"/>
      <c r="G1133" s="375">
        <f t="shared" si="38"/>
        <v>0</v>
      </c>
      <c r="H1133" s="375">
        <f t="shared" si="39"/>
        <v>0</v>
      </c>
      <c r="I1133" s="376">
        <v>0</v>
      </c>
    </row>
    <row r="1134" spans="1:9" x14ac:dyDescent="0.25">
      <c r="A1134" s="373">
        <v>153</v>
      </c>
      <c r="B1134" s="374">
        <f>NT!C246</f>
        <v>234</v>
      </c>
      <c r="C1134" s="374">
        <f>NT!D246</f>
        <v>0</v>
      </c>
      <c r="D1134" s="374">
        <v>0</v>
      </c>
      <c r="E1134" s="374"/>
      <c r="F1134" s="374"/>
      <c r="G1134" s="375">
        <f t="shared" si="38"/>
        <v>0</v>
      </c>
      <c r="H1134" s="375">
        <f t="shared" si="39"/>
        <v>0</v>
      </c>
      <c r="I1134" s="376">
        <v>0</v>
      </c>
    </row>
    <row r="1135" spans="1:9" x14ac:dyDescent="0.25">
      <c r="A1135" s="373">
        <v>153</v>
      </c>
      <c r="B1135" s="374">
        <f>NT!C247</f>
        <v>235</v>
      </c>
      <c r="C1135" s="374">
        <f>NT!D247</f>
        <v>0</v>
      </c>
      <c r="D1135" s="374">
        <v>0</v>
      </c>
      <c r="E1135" s="374"/>
      <c r="F1135" s="374"/>
      <c r="G1135" s="375">
        <f t="shared" si="38"/>
        <v>0</v>
      </c>
      <c r="H1135" s="375">
        <f t="shared" si="39"/>
        <v>0</v>
      </c>
      <c r="I1135" s="376">
        <v>0</v>
      </c>
    </row>
    <row r="1136" spans="1:9" x14ac:dyDescent="0.25">
      <c r="A1136" s="373">
        <v>153</v>
      </c>
      <c r="B1136" s="374">
        <f>NT!C248</f>
        <v>236</v>
      </c>
      <c r="C1136" s="374">
        <f>NT!D248</f>
        <v>0</v>
      </c>
      <c r="D1136" s="374">
        <v>0</v>
      </c>
      <c r="E1136" s="374"/>
      <c r="F1136" s="374"/>
      <c r="G1136" s="375">
        <f t="shared" si="38"/>
        <v>0</v>
      </c>
      <c r="H1136" s="375">
        <f t="shared" si="39"/>
        <v>0</v>
      </c>
      <c r="I1136" s="376">
        <v>0</v>
      </c>
    </row>
    <row r="1137" spans="1:9" x14ac:dyDescent="0.25">
      <c r="A1137" s="373">
        <v>153</v>
      </c>
      <c r="B1137" s="374">
        <f>NT!C249</f>
        <v>237</v>
      </c>
      <c r="C1137" s="374">
        <f>NT!D249</f>
        <v>0</v>
      </c>
      <c r="D1137" s="374">
        <v>0</v>
      </c>
      <c r="E1137" s="374"/>
      <c r="F1137" s="374"/>
      <c r="G1137" s="375">
        <f t="shared" si="38"/>
        <v>0</v>
      </c>
      <c r="H1137" s="375">
        <f t="shared" si="39"/>
        <v>0</v>
      </c>
      <c r="I1137" s="376">
        <v>0</v>
      </c>
    </row>
    <row r="1138" spans="1:9" x14ac:dyDescent="0.25">
      <c r="A1138" s="373">
        <v>153</v>
      </c>
      <c r="B1138" s="374">
        <f>NT!C250</f>
        <v>238</v>
      </c>
      <c r="C1138" s="374">
        <f>NT!D250</f>
        <v>0</v>
      </c>
      <c r="D1138" s="374">
        <v>0</v>
      </c>
      <c r="E1138" s="374"/>
      <c r="F1138" s="374"/>
      <c r="G1138" s="375">
        <f t="shared" si="38"/>
        <v>0</v>
      </c>
      <c r="H1138" s="375">
        <f t="shared" si="39"/>
        <v>0</v>
      </c>
      <c r="I1138" s="376">
        <v>0</v>
      </c>
    </row>
    <row r="1139" spans="1:9" x14ac:dyDescent="0.25">
      <c r="A1139" s="373">
        <v>153</v>
      </c>
      <c r="B1139" s="374">
        <f>NT!C251</f>
        <v>239</v>
      </c>
      <c r="C1139" s="374">
        <f>NT!D251</f>
        <v>0</v>
      </c>
      <c r="D1139" s="374">
        <v>0</v>
      </c>
      <c r="E1139" s="374"/>
      <c r="F1139" s="374"/>
      <c r="G1139" s="375">
        <f t="shared" si="38"/>
        <v>0</v>
      </c>
      <c r="H1139" s="375">
        <f t="shared" si="39"/>
        <v>0</v>
      </c>
      <c r="I1139" s="376">
        <v>0</v>
      </c>
    </row>
    <row r="1140" spans="1:9" x14ac:dyDescent="0.25">
      <c r="A1140" s="373">
        <v>153</v>
      </c>
      <c r="B1140" s="374">
        <f>NT!C252</f>
        <v>240</v>
      </c>
      <c r="C1140" s="374">
        <f>NT!D252</f>
        <v>0</v>
      </c>
      <c r="D1140" s="374">
        <v>0</v>
      </c>
      <c r="E1140" s="374"/>
      <c r="F1140" s="374"/>
      <c r="G1140" s="375">
        <f t="shared" si="38"/>
        <v>0</v>
      </c>
      <c r="H1140" s="375">
        <f t="shared" si="39"/>
        <v>0</v>
      </c>
      <c r="I1140" s="376">
        <v>0</v>
      </c>
    </row>
    <row r="1141" spans="1:9" x14ac:dyDescent="0.25">
      <c r="A1141" s="373">
        <v>153</v>
      </c>
      <c r="B1141" s="374">
        <f>NT!C253</f>
        <v>241</v>
      </c>
      <c r="C1141" s="374">
        <f>NT!D253</f>
        <v>50724</v>
      </c>
      <c r="D1141" s="374">
        <v>0</v>
      </c>
      <c r="E1141" s="374"/>
      <c r="F1141" s="374"/>
      <c r="G1141" s="375">
        <f t="shared" si="38"/>
        <v>12224.484</v>
      </c>
      <c r="H1141" s="375">
        <f t="shared" si="39"/>
        <v>0</v>
      </c>
      <c r="I1141" s="376">
        <v>0</v>
      </c>
    </row>
    <row r="1142" spans="1:9" x14ac:dyDescent="0.25">
      <c r="A1142" s="373">
        <v>153</v>
      </c>
      <c r="B1142" s="374">
        <f>NT!C254</f>
        <v>242</v>
      </c>
      <c r="C1142" s="374">
        <f>NT!D254</f>
        <v>65550</v>
      </c>
      <c r="D1142" s="374">
        <v>0</v>
      </c>
      <c r="E1142" s="374"/>
      <c r="F1142" s="374"/>
      <c r="G1142" s="375">
        <f t="shared" si="38"/>
        <v>15863.1</v>
      </c>
      <c r="H1142" s="375">
        <f t="shared" si="39"/>
        <v>0</v>
      </c>
      <c r="I1142" s="376">
        <v>0</v>
      </c>
    </row>
    <row r="1143" spans="1:9" x14ac:dyDescent="0.25">
      <c r="A1143" s="373">
        <v>153</v>
      </c>
      <c r="B1143" s="374">
        <f>NT!C255</f>
        <v>243</v>
      </c>
      <c r="C1143" s="374">
        <f>NT!D255</f>
        <v>0</v>
      </c>
      <c r="D1143" s="374">
        <v>0</v>
      </c>
      <c r="E1143" s="374"/>
      <c r="F1143" s="374"/>
      <c r="G1143" s="375">
        <f t="shared" si="38"/>
        <v>0</v>
      </c>
      <c r="H1143" s="375">
        <f t="shared" si="39"/>
        <v>0</v>
      </c>
      <c r="I1143" s="376">
        <v>0</v>
      </c>
    </row>
    <row r="1144" spans="1:9" x14ac:dyDescent="0.25">
      <c r="A1144" s="373">
        <v>153</v>
      </c>
      <c r="B1144" s="374">
        <f>NT!C256</f>
        <v>244</v>
      </c>
      <c r="C1144" s="374">
        <f>NT!D256</f>
        <v>0</v>
      </c>
      <c r="D1144" s="374">
        <v>0</v>
      </c>
      <c r="E1144" s="374"/>
      <c r="F1144" s="374"/>
      <c r="G1144" s="375">
        <f t="shared" si="38"/>
        <v>0</v>
      </c>
      <c r="H1144" s="375">
        <f t="shared" si="39"/>
        <v>0</v>
      </c>
      <c r="I1144" s="376">
        <v>0</v>
      </c>
    </row>
    <row r="1145" spans="1:9" x14ac:dyDescent="0.25">
      <c r="A1145" s="373">
        <v>153</v>
      </c>
      <c r="B1145" s="374">
        <f>NT!C257</f>
        <v>245</v>
      </c>
      <c r="C1145" s="374">
        <f>NT!D257</f>
        <v>0</v>
      </c>
      <c r="D1145" s="374">
        <v>0</v>
      </c>
      <c r="E1145" s="374"/>
      <c r="F1145" s="374"/>
      <c r="G1145" s="375">
        <f t="shared" si="38"/>
        <v>0</v>
      </c>
      <c r="H1145" s="375">
        <f t="shared" si="39"/>
        <v>0</v>
      </c>
      <c r="I1145" s="376">
        <v>0</v>
      </c>
    </row>
    <row r="1146" spans="1:9" x14ac:dyDescent="0.25">
      <c r="A1146" s="373">
        <v>153</v>
      </c>
      <c r="B1146" s="374">
        <f>NT!C258</f>
        <v>246</v>
      </c>
      <c r="C1146" s="374">
        <f>NT!D258</f>
        <v>504459</v>
      </c>
      <c r="D1146" s="374">
        <v>0</v>
      </c>
      <c r="E1146" s="374"/>
      <c r="F1146" s="374"/>
      <c r="G1146" s="375">
        <f t="shared" si="38"/>
        <v>124096.914</v>
      </c>
      <c r="H1146" s="375">
        <f t="shared" si="39"/>
        <v>0</v>
      </c>
      <c r="I1146" s="376">
        <v>0</v>
      </c>
    </row>
    <row r="1147" spans="1:9" x14ac:dyDescent="0.25">
      <c r="A1147" s="373">
        <v>153</v>
      </c>
      <c r="B1147" s="374">
        <f>NT!C259</f>
        <v>247</v>
      </c>
      <c r="C1147" s="374">
        <f>NT!D259</f>
        <v>0</v>
      </c>
      <c r="D1147" s="374">
        <v>0</v>
      </c>
      <c r="E1147" s="374"/>
      <c r="F1147" s="374"/>
      <c r="G1147" s="375">
        <f t="shared" si="38"/>
        <v>0</v>
      </c>
      <c r="H1147" s="375">
        <f t="shared" si="39"/>
        <v>0</v>
      </c>
      <c r="I1147" s="376">
        <v>0</v>
      </c>
    </row>
    <row r="1148" spans="1:9" x14ac:dyDescent="0.25">
      <c r="A1148" s="373">
        <v>153</v>
      </c>
      <c r="B1148" s="374">
        <f>NT!C260</f>
        <v>248</v>
      </c>
      <c r="C1148" s="374">
        <f>NT!D260</f>
        <v>0</v>
      </c>
      <c r="D1148" s="374">
        <v>0</v>
      </c>
      <c r="E1148" s="374"/>
      <c r="F1148" s="374"/>
      <c r="G1148" s="375">
        <f t="shared" si="38"/>
        <v>0</v>
      </c>
      <c r="H1148" s="375">
        <f t="shared" si="39"/>
        <v>0</v>
      </c>
      <c r="I1148" s="376">
        <v>0</v>
      </c>
    </row>
    <row r="1149" spans="1:9" x14ac:dyDescent="0.25">
      <c r="A1149" s="373">
        <v>153</v>
      </c>
      <c r="B1149" s="374">
        <f>NT!C261</f>
        <v>249</v>
      </c>
      <c r="C1149" s="374">
        <f>NT!D261</f>
        <v>0</v>
      </c>
      <c r="D1149" s="374">
        <v>0</v>
      </c>
      <c r="E1149" s="374"/>
      <c r="F1149" s="374"/>
      <c r="G1149" s="375">
        <f t="shared" si="38"/>
        <v>0</v>
      </c>
      <c r="H1149" s="375">
        <f t="shared" si="39"/>
        <v>0</v>
      </c>
      <c r="I1149" s="376">
        <v>0</v>
      </c>
    </row>
    <row r="1150" spans="1:9" x14ac:dyDescent="0.25">
      <c r="A1150" s="373">
        <v>153</v>
      </c>
      <c r="B1150" s="374">
        <f>NT!C262</f>
        <v>250</v>
      </c>
      <c r="C1150" s="374">
        <f>NT!D262</f>
        <v>0</v>
      </c>
      <c r="D1150" s="374">
        <v>0</v>
      </c>
      <c r="E1150" s="374"/>
      <c r="F1150" s="374"/>
      <c r="G1150" s="375">
        <f t="shared" si="38"/>
        <v>0</v>
      </c>
      <c r="H1150" s="375">
        <f t="shared" si="39"/>
        <v>0</v>
      </c>
      <c r="I1150" s="376">
        <v>0</v>
      </c>
    </row>
    <row r="1151" spans="1:9" x14ac:dyDescent="0.25">
      <c r="A1151" s="373">
        <v>153</v>
      </c>
      <c r="B1151" s="374">
        <f>NT!C263</f>
        <v>251</v>
      </c>
      <c r="C1151" s="374">
        <f>NT!D263</f>
        <v>0</v>
      </c>
      <c r="D1151" s="374">
        <v>0</v>
      </c>
      <c r="E1151" s="374"/>
      <c r="F1151" s="374"/>
      <c r="G1151" s="375">
        <f t="shared" si="38"/>
        <v>0</v>
      </c>
      <c r="H1151" s="375">
        <f t="shared" si="39"/>
        <v>0</v>
      </c>
      <c r="I1151" s="376">
        <v>0</v>
      </c>
    </row>
    <row r="1152" spans="1:9" x14ac:dyDescent="0.25">
      <c r="A1152" s="373">
        <v>153</v>
      </c>
      <c r="B1152" s="374">
        <f>NT!C264</f>
        <v>252</v>
      </c>
      <c r="C1152" s="374">
        <f>NT!D264</f>
        <v>0</v>
      </c>
      <c r="D1152" s="374">
        <v>0</v>
      </c>
      <c r="E1152" s="374"/>
      <c r="F1152" s="374"/>
      <c r="G1152" s="375">
        <f t="shared" si="38"/>
        <v>0</v>
      </c>
      <c r="H1152" s="375">
        <f t="shared" si="39"/>
        <v>0</v>
      </c>
      <c r="I1152" s="376">
        <v>0</v>
      </c>
    </row>
    <row r="1153" spans="1:9" x14ac:dyDescent="0.25">
      <c r="A1153" s="373">
        <v>153</v>
      </c>
      <c r="B1153" s="374">
        <f>NT!C265</f>
        <v>253</v>
      </c>
      <c r="C1153" s="374">
        <f>NT!D265</f>
        <v>0</v>
      </c>
      <c r="D1153" s="374">
        <v>0</v>
      </c>
      <c r="E1153" s="374"/>
      <c r="F1153" s="374"/>
      <c r="G1153" s="375">
        <f t="shared" si="38"/>
        <v>0</v>
      </c>
      <c r="H1153" s="375">
        <f t="shared" si="39"/>
        <v>0</v>
      </c>
      <c r="I1153" s="376">
        <v>0</v>
      </c>
    </row>
    <row r="1154" spans="1:9" x14ac:dyDescent="0.25">
      <c r="A1154" s="373">
        <v>153</v>
      </c>
      <c r="B1154" s="374">
        <f>NT!C266</f>
        <v>254</v>
      </c>
      <c r="C1154" s="374">
        <f>NT!D266</f>
        <v>0</v>
      </c>
      <c r="D1154" s="374">
        <v>0</v>
      </c>
      <c r="E1154" s="374"/>
      <c r="F1154" s="374"/>
      <c r="G1154" s="375">
        <f t="shared" si="38"/>
        <v>0</v>
      </c>
      <c r="H1154" s="375">
        <f t="shared" si="39"/>
        <v>0</v>
      </c>
      <c r="I1154" s="376">
        <v>0</v>
      </c>
    </row>
    <row r="1155" spans="1:9" x14ac:dyDescent="0.25">
      <c r="A1155" s="373">
        <v>153</v>
      </c>
      <c r="B1155" s="374">
        <f>NT!C267</f>
        <v>255</v>
      </c>
      <c r="C1155" s="374">
        <f>NT!D267</f>
        <v>0</v>
      </c>
      <c r="D1155" s="374">
        <v>0</v>
      </c>
      <c r="E1155" s="374"/>
      <c r="F1155" s="374"/>
      <c r="G1155" s="375">
        <f t="shared" si="38"/>
        <v>0</v>
      </c>
      <c r="H1155" s="375">
        <f t="shared" si="39"/>
        <v>0</v>
      </c>
      <c r="I1155" s="376">
        <v>0</v>
      </c>
    </row>
    <row r="1156" spans="1:9" x14ac:dyDescent="0.25">
      <c r="A1156" s="373">
        <v>153</v>
      </c>
      <c r="B1156" s="374">
        <f>NT!C268</f>
        <v>256</v>
      </c>
      <c r="C1156" s="374">
        <f>NT!D268</f>
        <v>0</v>
      </c>
      <c r="D1156" s="374">
        <v>0</v>
      </c>
      <c r="E1156" s="374"/>
      <c r="F1156" s="374"/>
      <c r="G1156" s="375">
        <f t="shared" si="38"/>
        <v>0</v>
      </c>
      <c r="H1156" s="375">
        <f t="shared" si="39"/>
        <v>0</v>
      </c>
      <c r="I1156" s="376">
        <v>0</v>
      </c>
    </row>
    <row r="1157" spans="1:9" x14ac:dyDescent="0.25">
      <c r="A1157" s="373">
        <v>153</v>
      </c>
      <c r="B1157" s="374">
        <f>NT!C269</f>
        <v>257</v>
      </c>
      <c r="C1157" s="374">
        <f>NT!D269</f>
        <v>0</v>
      </c>
      <c r="D1157" s="374">
        <v>0</v>
      </c>
      <c r="E1157" s="374"/>
      <c r="F1157" s="374"/>
      <c r="G1157" s="375">
        <f t="shared" si="38"/>
        <v>0</v>
      </c>
      <c r="H1157" s="375">
        <f t="shared" si="39"/>
        <v>0</v>
      </c>
      <c r="I1157" s="376">
        <v>0</v>
      </c>
    </row>
    <row r="1158" spans="1:9" x14ac:dyDescent="0.25">
      <c r="A1158" s="373">
        <v>153</v>
      </c>
      <c r="B1158" s="374">
        <f>NT!C270</f>
        <v>258</v>
      </c>
      <c r="C1158" s="374">
        <f>NT!D270</f>
        <v>0</v>
      </c>
      <c r="D1158" s="374">
        <v>0</v>
      </c>
      <c r="E1158" s="374"/>
      <c r="F1158" s="374"/>
      <c r="G1158" s="375">
        <f t="shared" si="38"/>
        <v>0</v>
      </c>
      <c r="H1158" s="375">
        <f t="shared" si="39"/>
        <v>0</v>
      </c>
      <c r="I1158" s="376">
        <v>0</v>
      </c>
    </row>
    <row r="1159" spans="1:9" x14ac:dyDescent="0.25">
      <c r="A1159" s="373">
        <v>153</v>
      </c>
      <c r="B1159" s="374">
        <f>NT!C271</f>
        <v>259</v>
      </c>
      <c r="C1159" s="374">
        <f>NT!D271</f>
        <v>0</v>
      </c>
      <c r="D1159" s="374">
        <v>0</v>
      </c>
      <c r="E1159" s="374"/>
      <c r="F1159" s="374"/>
      <c r="G1159" s="375">
        <f t="shared" si="38"/>
        <v>0</v>
      </c>
      <c r="H1159" s="375">
        <f t="shared" si="39"/>
        <v>0</v>
      </c>
      <c r="I1159" s="376">
        <v>0</v>
      </c>
    </row>
    <row r="1160" spans="1:9" x14ac:dyDescent="0.25">
      <c r="A1160" s="373">
        <v>153</v>
      </c>
      <c r="B1160" s="374">
        <f>NT!C272</f>
        <v>260</v>
      </c>
      <c r="C1160" s="374">
        <f>NT!D272</f>
        <v>0</v>
      </c>
      <c r="D1160" s="374">
        <v>0</v>
      </c>
      <c r="E1160" s="374"/>
      <c r="F1160" s="374"/>
      <c r="G1160" s="375">
        <f t="shared" si="38"/>
        <v>0</v>
      </c>
      <c r="H1160" s="375">
        <f t="shared" si="39"/>
        <v>0</v>
      </c>
      <c r="I1160" s="376">
        <v>0</v>
      </c>
    </row>
    <row r="1161" spans="1:9" x14ac:dyDescent="0.25">
      <c r="A1161" s="373">
        <v>153</v>
      </c>
      <c r="B1161" s="374">
        <f>NT!C273</f>
        <v>261</v>
      </c>
      <c r="C1161" s="374">
        <f>NT!D273</f>
        <v>0</v>
      </c>
      <c r="D1161" s="374">
        <v>0</v>
      </c>
      <c r="E1161" s="374"/>
      <c r="F1161" s="374"/>
      <c r="G1161" s="375">
        <f t="shared" si="38"/>
        <v>0</v>
      </c>
      <c r="H1161" s="375">
        <f t="shared" si="39"/>
        <v>0</v>
      </c>
      <c r="I1161" s="376">
        <v>0</v>
      </c>
    </row>
    <row r="1162" spans="1:9" x14ac:dyDescent="0.25">
      <c r="A1162" s="373">
        <v>153</v>
      </c>
      <c r="B1162" s="374">
        <f>NT!C274</f>
        <v>262</v>
      </c>
      <c r="C1162" s="374">
        <f>NT!D274</f>
        <v>0</v>
      </c>
      <c r="D1162" s="374">
        <v>0</v>
      </c>
      <c r="E1162" s="374"/>
      <c r="F1162" s="374"/>
      <c r="G1162" s="375">
        <f t="shared" si="38"/>
        <v>0</v>
      </c>
      <c r="H1162" s="375">
        <f t="shared" si="39"/>
        <v>0</v>
      </c>
      <c r="I1162" s="376">
        <v>0</v>
      </c>
    </row>
    <row r="1163" spans="1:9" x14ac:dyDescent="0.25">
      <c r="A1163" s="373">
        <v>153</v>
      </c>
      <c r="B1163" s="374">
        <f>NT!C275</f>
        <v>263</v>
      </c>
      <c r="C1163" s="374">
        <f>NT!D275</f>
        <v>0</v>
      </c>
      <c r="D1163" s="374">
        <v>0</v>
      </c>
      <c r="E1163" s="374"/>
      <c r="F1163" s="374"/>
      <c r="G1163" s="375">
        <f t="shared" si="38"/>
        <v>0</v>
      </c>
      <c r="H1163" s="375">
        <f t="shared" si="39"/>
        <v>0</v>
      </c>
      <c r="I1163" s="376">
        <v>0</v>
      </c>
    </row>
    <row r="1164" spans="1:9" x14ac:dyDescent="0.25">
      <c r="A1164" s="373">
        <v>153</v>
      </c>
      <c r="B1164" s="374">
        <f>NT!C276</f>
        <v>264</v>
      </c>
      <c r="C1164" s="374">
        <f>NT!D276</f>
        <v>0</v>
      </c>
      <c r="D1164" s="374">
        <v>0</v>
      </c>
      <c r="E1164" s="374"/>
      <c r="F1164" s="374"/>
      <c r="G1164" s="375">
        <f t="shared" si="38"/>
        <v>0</v>
      </c>
      <c r="H1164" s="375">
        <f t="shared" si="39"/>
        <v>0</v>
      </c>
      <c r="I1164" s="376">
        <v>0</v>
      </c>
    </row>
    <row r="1165" spans="1:9" x14ac:dyDescent="0.25">
      <c r="A1165" s="373">
        <v>153</v>
      </c>
      <c r="B1165" s="374">
        <f>NT!C277</f>
        <v>265</v>
      </c>
      <c r="C1165" s="374">
        <f>NT!D277</f>
        <v>0</v>
      </c>
      <c r="D1165" s="374">
        <v>0</v>
      </c>
      <c r="E1165" s="374"/>
      <c r="F1165" s="374"/>
      <c r="G1165" s="375">
        <f t="shared" si="38"/>
        <v>0</v>
      </c>
      <c r="H1165" s="375">
        <f t="shared" si="39"/>
        <v>0</v>
      </c>
      <c r="I1165" s="376">
        <v>0</v>
      </c>
    </row>
    <row r="1166" spans="1:9" x14ac:dyDescent="0.25">
      <c r="A1166" s="373">
        <v>153</v>
      </c>
      <c r="B1166" s="374">
        <f>NT!C278</f>
        <v>266</v>
      </c>
      <c r="C1166" s="374">
        <f>NT!D278</f>
        <v>0</v>
      </c>
      <c r="D1166" s="374">
        <v>0</v>
      </c>
      <c r="E1166" s="374"/>
      <c r="F1166" s="374"/>
      <c r="G1166" s="375">
        <f t="shared" si="38"/>
        <v>0</v>
      </c>
      <c r="H1166" s="375">
        <f t="shared" si="39"/>
        <v>0</v>
      </c>
      <c r="I1166" s="376">
        <v>0</v>
      </c>
    </row>
    <row r="1167" spans="1:9" x14ac:dyDescent="0.25">
      <c r="A1167" s="373">
        <v>153</v>
      </c>
      <c r="B1167" s="374">
        <f>NT!C279</f>
        <v>267</v>
      </c>
      <c r="C1167" s="374">
        <f>NT!D279</f>
        <v>0</v>
      </c>
      <c r="D1167" s="374">
        <v>0</v>
      </c>
      <c r="E1167" s="374"/>
      <c r="F1167" s="374"/>
      <c r="G1167" s="375">
        <f t="shared" si="38"/>
        <v>0</v>
      </c>
      <c r="H1167" s="375">
        <f t="shared" si="39"/>
        <v>0</v>
      </c>
      <c r="I1167" s="376">
        <v>0</v>
      </c>
    </row>
    <row r="1168" spans="1:9" x14ac:dyDescent="0.25">
      <c r="A1168" s="373">
        <v>153</v>
      </c>
      <c r="B1168" s="374">
        <f>NT!C280</f>
        <v>268</v>
      </c>
      <c r="C1168" s="374">
        <f>NT!D280</f>
        <v>620733</v>
      </c>
      <c r="D1168" s="374">
        <v>0</v>
      </c>
      <c r="E1168" s="374"/>
      <c r="F1168" s="374"/>
      <c r="G1168" s="375">
        <f t="shared" ref="G1168:G1231" si="40">B1168/1000*C1168</f>
        <v>166356.44400000002</v>
      </c>
      <c r="H1168" s="375">
        <f t="shared" ref="H1168:H1231" si="41">ABS(C1168-ROUND(C1168,0))</f>
        <v>0</v>
      </c>
      <c r="I1168" s="376">
        <v>0</v>
      </c>
    </row>
    <row r="1169" spans="1:9" x14ac:dyDescent="0.25">
      <c r="A1169" s="373">
        <v>153</v>
      </c>
      <c r="B1169" s="374">
        <f>NT!C281</f>
        <v>269</v>
      </c>
      <c r="C1169" s="374">
        <f>NT!D281</f>
        <v>0</v>
      </c>
      <c r="D1169" s="374">
        <v>0</v>
      </c>
      <c r="E1169" s="374"/>
      <c r="F1169" s="374"/>
      <c r="G1169" s="375">
        <f t="shared" si="40"/>
        <v>0</v>
      </c>
      <c r="H1169" s="375">
        <f t="shared" si="41"/>
        <v>0</v>
      </c>
      <c r="I1169" s="376">
        <v>0</v>
      </c>
    </row>
    <row r="1170" spans="1:9" x14ac:dyDescent="0.25">
      <c r="A1170" s="373">
        <v>153</v>
      </c>
      <c r="B1170" s="374">
        <f>NT!C282</f>
        <v>270</v>
      </c>
      <c r="C1170" s="374">
        <f>NT!D282</f>
        <v>0</v>
      </c>
      <c r="D1170" s="374">
        <v>0</v>
      </c>
      <c r="E1170" s="374"/>
      <c r="F1170" s="374"/>
      <c r="G1170" s="375">
        <f t="shared" si="40"/>
        <v>0</v>
      </c>
      <c r="H1170" s="375">
        <f t="shared" si="41"/>
        <v>0</v>
      </c>
      <c r="I1170" s="376">
        <v>0</v>
      </c>
    </row>
    <row r="1171" spans="1:9" x14ac:dyDescent="0.25">
      <c r="A1171" s="373">
        <v>153</v>
      </c>
      <c r="B1171" s="374">
        <f>NT!C283</f>
        <v>271</v>
      </c>
      <c r="C1171" s="374">
        <f>NT!D283</f>
        <v>35927</v>
      </c>
      <c r="D1171" s="374">
        <v>0</v>
      </c>
      <c r="E1171" s="374"/>
      <c r="F1171" s="374"/>
      <c r="G1171" s="375">
        <f t="shared" si="40"/>
        <v>9736.2170000000006</v>
      </c>
      <c r="H1171" s="375">
        <f t="shared" si="41"/>
        <v>0</v>
      </c>
      <c r="I1171" s="376">
        <v>0</v>
      </c>
    </row>
    <row r="1172" spans="1:9" x14ac:dyDescent="0.25">
      <c r="A1172" s="373">
        <v>153</v>
      </c>
      <c r="B1172" s="374">
        <f>NT!C284</f>
        <v>272</v>
      </c>
      <c r="C1172" s="374">
        <f>NT!D284</f>
        <v>0</v>
      </c>
      <c r="D1172" s="374">
        <v>0</v>
      </c>
      <c r="E1172" s="374"/>
      <c r="F1172" s="374"/>
      <c r="G1172" s="375">
        <f t="shared" si="40"/>
        <v>0</v>
      </c>
      <c r="H1172" s="375">
        <f t="shared" si="41"/>
        <v>0</v>
      </c>
      <c r="I1172" s="376">
        <v>0</v>
      </c>
    </row>
    <row r="1173" spans="1:9" x14ac:dyDescent="0.25">
      <c r="A1173" s="373">
        <v>153</v>
      </c>
      <c r="B1173" s="374">
        <f>NT!C285</f>
        <v>273</v>
      </c>
      <c r="C1173" s="374">
        <f>NT!D285</f>
        <v>0</v>
      </c>
      <c r="D1173" s="374">
        <v>0</v>
      </c>
      <c r="E1173" s="374"/>
      <c r="F1173" s="374"/>
      <c r="G1173" s="375">
        <f t="shared" si="40"/>
        <v>0</v>
      </c>
      <c r="H1173" s="375">
        <f t="shared" si="41"/>
        <v>0</v>
      </c>
      <c r="I1173" s="376">
        <v>0</v>
      </c>
    </row>
    <row r="1174" spans="1:9" x14ac:dyDescent="0.25">
      <c r="A1174" s="373">
        <v>153</v>
      </c>
      <c r="B1174" s="374">
        <f>NT!C286</f>
        <v>274</v>
      </c>
      <c r="C1174" s="374">
        <f>NT!D286</f>
        <v>0</v>
      </c>
      <c r="D1174" s="374">
        <v>0</v>
      </c>
      <c r="E1174" s="374"/>
      <c r="F1174" s="374"/>
      <c r="G1174" s="375">
        <f t="shared" si="40"/>
        <v>0</v>
      </c>
      <c r="H1174" s="375">
        <f t="shared" si="41"/>
        <v>0</v>
      </c>
      <c r="I1174" s="376">
        <v>0</v>
      </c>
    </row>
    <row r="1175" spans="1:9" x14ac:dyDescent="0.25">
      <c r="A1175" s="373">
        <v>153</v>
      </c>
      <c r="B1175" s="374">
        <f>NT!C287</f>
        <v>275</v>
      </c>
      <c r="C1175" s="374">
        <f>NT!D287</f>
        <v>0</v>
      </c>
      <c r="D1175" s="374">
        <v>0</v>
      </c>
      <c r="E1175" s="374"/>
      <c r="F1175" s="374"/>
      <c r="G1175" s="375">
        <f t="shared" si="40"/>
        <v>0</v>
      </c>
      <c r="H1175" s="375">
        <f t="shared" si="41"/>
        <v>0</v>
      </c>
      <c r="I1175" s="376">
        <v>0</v>
      </c>
    </row>
    <row r="1176" spans="1:9" x14ac:dyDescent="0.25">
      <c r="A1176" s="373">
        <v>153</v>
      </c>
      <c r="B1176" s="374">
        <f>NT!C288</f>
        <v>276</v>
      </c>
      <c r="C1176" s="374">
        <f>NT!D288</f>
        <v>0</v>
      </c>
      <c r="D1176" s="374">
        <v>0</v>
      </c>
      <c r="E1176" s="374"/>
      <c r="F1176" s="374"/>
      <c r="G1176" s="375">
        <f t="shared" si="40"/>
        <v>0</v>
      </c>
      <c r="H1176" s="375">
        <f t="shared" si="41"/>
        <v>0</v>
      </c>
      <c r="I1176" s="376">
        <v>0</v>
      </c>
    </row>
    <row r="1177" spans="1:9" x14ac:dyDescent="0.25">
      <c r="A1177" s="373">
        <v>153</v>
      </c>
      <c r="B1177" s="374">
        <f>NT!C289</f>
        <v>277</v>
      </c>
      <c r="C1177" s="374">
        <f>NT!D289</f>
        <v>0</v>
      </c>
      <c r="D1177" s="374">
        <v>0</v>
      </c>
      <c r="E1177" s="374"/>
      <c r="F1177" s="374"/>
      <c r="G1177" s="375">
        <f t="shared" si="40"/>
        <v>0</v>
      </c>
      <c r="H1177" s="375">
        <f t="shared" si="41"/>
        <v>0</v>
      </c>
      <c r="I1177" s="376">
        <v>0</v>
      </c>
    </row>
    <row r="1178" spans="1:9" x14ac:dyDescent="0.25">
      <c r="A1178" s="373">
        <v>153</v>
      </c>
      <c r="B1178" s="374">
        <f>NT!C290</f>
        <v>278</v>
      </c>
      <c r="C1178" s="374">
        <f>NT!D290</f>
        <v>0</v>
      </c>
      <c r="D1178" s="374">
        <v>0</v>
      </c>
      <c r="E1178" s="374"/>
      <c r="F1178" s="374"/>
      <c r="G1178" s="375">
        <f t="shared" si="40"/>
        <v>0</v>
      </c>
      <c r="H1178" s="375">
        <f t="shared" si="41"/>
        <v>0</v>
      </c>
      <c r="I1178" s="376">
        <v>0</v>
      </c>
    </row>
    <row r="1179" spans="1:9" x14ac:dyDescent="0.25">
      <c r="A1179" s="373">
        <v>153</v>
      </c>
      <c r="B1179" s="374">
        <f>NT!C291</f>
        <v>279</v>
      </c>
      <c r="C1179" s="374">
        <f>NT!D291</f>
        <v>0</v>
      </c>
      <c r="D1179" s="374">
        <v>0</v>
      </c>
      <c r="E1179" s="374"/>
      <c r="F1179" s="374"/>
      <c r="G1179" s="375">
        <f t="shared" si="40"/>
        <v>0</v>
      </c>
      <c r="H1179" s="375">
        <f t="shared" si="41"/>
        <v>0</v>
      </c>
      <c r="I1179" s="376">
        <v>0</v>
      </c>
    </row>
    <row r="1180" spans="1:9" x14ac:dyDescent="0.25">
      <c r="A1180" s="373">
        <v>153</v>
      </c>
      <c r="B1180" s="374">
        <f>NT!C292</f>
        <v>280</v>
      </c>
      <c r="C1180" s="374">
        <f>NT!D292</f>
        <v>0</v>
      </c>
      <c r="D1180" s="374">
        <v>0</v>
      </c>
      <c r="E1180" s="374"/>
      <c r="F1180" s="374"/>
      <c r="G1180" s="375">
        <f t="shared" si="40"/>
        <v>0</v>
      </c>
      <c r="H1180" s="375">
        <f t="shared" si="41"/>
        <v>0</v>
      </c>
      <c r="I1180" s="376">
        <v>0</v>
      </c>
    </row>
    <row r="1181" spans="1:9" x14ac:dyDescent="0.25">
      <c r="A1181" s="373">
        <v>153</v>
      </c>
      <c r="B1181" s="374">
        <f>NT!C293</f>
        <v>281</v>
      </c>
      <c r="C1181" s="374">
        <f>NT!D293</f>
        <v>0</v>
      </c>
      <c r="D1181" s="374">
        <v>0</v>
      </c>
      <c r="E1181" s="374"/>
      <c r="F1181" s="374"/>
      <c r="G1181" s="375">
        <f t="shared" si="40"/>
        <v>0</v>
      </c>
      <c r="H1181" s="375">
        <f t="shared" si="41"/>
        <v>0</v>
      </c>
      <c r="I1181" s="376">
        <v>0</v>
      </c>
    </row>
    <row r="1182" spans="1:9" x14ac:dyDescent="0.25">
      <c r="A1182" s="373">
        <v>153</v>
      </c>
      <c r="B1182" s="374">
        <f>NT!C294</f>
        <v>282</v>
      </c>
      <c r="C1182" s="374">
        <f>NT!D294</f>
        <v>0</v>
      </c>
      <c r="D1182" s="374">
        <v>0</v>
      </c>
      <c r="E1182" s="374"/>
      <c r="F1182" s="374"/>
      <c r="G1182" s="375">
        <f t="shared" si="40"/>
        <v>0</v>
      </c>
      <c r="H1182" s="375">
        <f t="shared" si="41"/>
        <v>0</v>
      </c>
      <c r="I1182" s="376">
        <v>0</v>
      </c>
    </row>
    <row r="1183" spans="1:9" x14ac:dyDescent="0.25">
      <c r="A1183" s="373">
        <v>153</v>
      </c>
      <c r="B1183" s="374">
        <f>NT!C295</f>
        <v>283</v>
      </c>
      <c r="C1183" s="374">
        <f>NT!D295</f>
        <v>0</v>
      </c>
      <c r="D1183" s="374">
        <v>0</v>
      </c>
      <c r="E1183" s="374"/>
      <c r="F1183" s="374"/>
      <c r="G1183" s="375">
        <f t="shared" si="40"/>
        <v>0</v>
      </c>
      <c r="H1183" s="375">
        <f t="shared" si="41"/>
        <v>0</v>
      </c>
      <c r="I1183" s="376">
        <v>0</v>
      </c>
    </row>
    <row r="1184" spans="1:9" x14ac:dyDescent="0.25">
      <c r="A1184" s="373">
        <v>153</v>
      </c>
      <c r="B1184" s="374">
        <f>NT!C296</f>
        <v>284</v>
      </c>
      <c r="C1184" s="374">
        <f>NT!D296</f>
        <v>0</v>
      </c>
      <c r="D1184" s="374">
        <v>0</v>
      </c>
      <c r="E1184" s="374"/>
      <c r="F1184" s="374"/>
      <c r="G1184" s="375">
        <f t="shared" si="40"/>
        <v>0</v>
      </c>
      <c r="H1184" s="375">
        <f t="shared" si="41"/>
        <v>0</v>
      </c>
      <c r="I1184" s="376">
        <v>0</v>
      </c>
    </row>
    <row r="1185" spans="1:9" x14ac:dyDescent="0.25">
      <c r="A1185" s="373">
        <v>153</v>
      </c>
      <c r="B1185" s="374">
        <f>NT!C297</f>
        <v>285</v>
      </c>
      <c r="C1185" s="374">
        <f>NT!D297</f>
        <v>0</v>
      </c>
      <c r="D1185" s="374">
        <v>0</v>
      </c>
      <c r="E1185" s="374"/>
      <c r="F1185" s="374"/>
      <c r="G1185" s="375">
        <f t="shared" si="40"/>
        <v>0</v>
      </c>
      <c r="H1185" s="375">
        <f t="shared" si="41"/>
        <v>0</v>
      </c>
      <c r="I1185" s="376">
        <v>0</v>
      </c>
    </row>
    <row r="1186" spans="1:9" x14ac:dyDescent="0.25">
      <c r="A1186" s="373">
        <v>153</v>
      </c>
      <c r="B1186" s="374">
        <f>NT!C298</f>
        <v>286</v>
      </c>
      <c r="C1186" s="374">
        <f>NT!D298</f>
        <v>0</v>
      </c>
      <c r="D1186" s="374">
        <v>0</v>
      </c>
      <c r="E1186" s="374"/>
      <c r="F1186" s="374"/>
      <c r="G1186" s="375">
        <f t="shared" si="40"/>
        <v>0</v>
      </c>
      <c r="H1186" s="375">
        <f t="shared" si="41"/>
        <v>0</v>
      </c>
      <c r="I1186" s="376">
        <v>0</v>
      </c>
    </row>
    <row r="1187" spans="1:9" x14ac:dyDescent="0.25">
      <c r="A1187" s="373">
        <v>153</v>
      </c>
      <c r="B1187" s="374">
        <f>NT!C299</f>
        <v>287</v>
      </c>
      <c r="C1187" s="374">
        <f>NT!D299</f>
        <v>0</v>
      </c>
      <c r="D1187" s="374">
        <v>0</v>
      </c>
      <c r="E1187" s="374"/>
      <c r="F1187" s="374"/>
      <c r="G1187" s="375">
        <f t="shared" si="40"/>
        <v>0</v>
      </c>
      <c r="H1187" s="375">
        <f t="shared" si="41"/>
        <v>0</v>
      </c>
      <c r="I1187" s="376">
        <v>0</v>
      </c>
    </row>
    <row r="1188" spans="1:9" x14ac:dyDescent="0.25">
      <c r="A1188" s="373">
        <v>153</v>
      </c>
      <c r="B1188" s="374">
        <f>NT!C300</f>
        <v>288</v>
      </c>
      <c r="C1188" s="374">
        <f>NT!D300</f>
        <v>0</v>
      </c>
      <c r="D1188" s="374">
        <v>0</v>
      </c>
      <c r="E1188" s="374"/>
      <c r="F1188" s="374"/>
      <c r="G1188" s="375">
        <f t="shared" si="40"/>
        <v>0</v>
      </c>
      <c r="H1188" s="375">
        <f t="shared" si="41"/>
        <v>0</v>
      </c>
      <c r="I1188" s="376">
        <v>0</v>
      </c>
    </row>
    <row r="1189" spans="1:9" x14ac:dyDescent="0.25">
      <c r="A1189" s="373">
        <v>153</v>
      </c>
      <c r="B1189" s="374">
        <f>NT!C301</f>
        <v>289</v>
      </c>
      <c r="C1189" s="374">
        <f>NT!D301</f>
        <v>0</v>
      </c>
      <c r="D1189" s="374">
        <v>0</v>
      </c>
      <c r="E1189" s="374"/>
      <c r="F1189" s="374"/>
      <c r="G1189" s="375">
        <f t="shared" si="40"/>
        <v>0</v>
      </c>
      <c r="H1189" s="375">
        <f t="shared" si="41"/>
        <v>0</v>
      </c>
      <c r="I1189" s="376">
        <v>0</v>
      </c>
    </row>
    <row r="1190" spans="1:9" x14ac:dyDescent="0.25">
      <c r="A1190" s="373">
        <v>153</v>
      </c>
      <c r="B1190" s="374">
        <f>NT!C302</f>
        <v>290</v>
      </c>
      <c r="C1190" s="374">
        <f>NT!D302</f>
        <v>0</v>
      </c>
      <c r="D1190" s="374">
        <v>0</v>
      </c>
      <c r="E1190" s="374"/>
      <c r="F1190" s="374"/>
      <c r="G1190" s="375">
        <f t="shared" si="40"/>
        <v>0</v>
      </c>
      <c r="H1190" s="375">
        <f t="shared" si="41"/>
        <v>0</v>
      </c>
      <c r="I1190" s="376">
        <v>0</v>
      </c>
    </row>
    <row r="1191" spans="1:9" x14ac:dyDescent="0.25">
      <c r="A1191" s="373">
        <v>153</v>
      </c>
      <c r="B1191" s="374">
        <f>NT!C303</f>
        <v>291</v>
      </c>
      <c r="C1191" s="374">
        <f>NT!D303</f>
        <v>0</v>
      </c>
      <c r="D1191" s="374">
        <v>0</v>
      </c>
      <c r="E1191" s="374"/>
      <c r="F1191" s="374"/>
      <c r="G1191" s="375">
        <f t="shared" si="40"/>
        <v>0</v>
      </c>
      <c r="H1191" s="375">
        <f t="shared" si="41"/>
        <v>0</v>
      </c>
      <c r="I1191" s="376">
        <v>0</v>
      </c>
    </row>
    <row r="1192" spans="1:9" x14ac:dyDescent="0.25">
      <c r="A1192" s="373">
        <v>153</v>
      </c>
      <c r="B1192" s="374">
        <f>NT!C304</f>
        <v>292</v>
      </c>
      <c r="C1192" s="374">
        <f>NT!D304</f>
        <v>0</v>
      </c>
      <c r="D1192" s="374">
        <v>0</v>
      </c>
      <c r="E1192" s="374"/>
      <c r="F1192" s="374"/>
      <c r="G1192" s="375">
        <f t="shared" si="40"/>
        <v>0</v>
      </c>
      <c r="H1192" s="375">
        <f t="shared" si="41"/>
        <v>0</v>
      </c>
      <c r="I1192" s="376">
        <v>0</v>
      </c>
    </row>
    <row r="1193" spans="1:9" x14ac:dyDescent="0.25">
      <c r="A1193" s="373">
        <v>153</v>
      </c>
      <c r="B1193" s="374">
        <f>NT!C305</f>
        <v>293</v>
      </c>
      <c r="C1193" s="374">
        <f>NT!D305</f>
        <v>0</v>
      </c>
      <c r="D1193" s="374">
        <v>0</v>
      </c>
      <c r="E1193" s="374"/>
      <c r="F1193" s="374"/>
      <c r="G1193" s="375">
        <f t="shared" si="40"/>
        <v>0</v>
      </c>
      <c r="H1193" s="375">
        <f t="shared" si="41"/>
        <v>0</v>
      </c>
      <c r="I1193" s="376">
        <v>0</v>
      </c>
    </row>
    <row r="1194" spans="1:9" x14ac:dyDescent="0.25">
      <c r="A1194" s="373">
        <v>153</v>
      </c>
      <c r="B1194" s="374">
        <f>NT!C306</f>
        <v>294</v>
      </c>
      <c r="C1194" s="374">
        <f>NT!D306</f>
        <v>205133</v>
      </c>
      <c r="D1194" s="374">
        <v>0</v>
      </c>
      <c r="E1194" s="374"/>
      <c r="F1194" s="374"/>
      <c r="G1194" s="375">
        <f t="shared" si="40"/>
        <v>60309.101999999999</v>
      </c>
      <c r="H1194" s="375">
        <f t="shared" si="41"/>
        <v>0</v>
      </c>
      <c r="I1194" s="376">
        <v>0</v>
      </c>
    </row>
    <row r="1195" spans="1:9" x14ac:dyDescent="0.25">
      <c r="A1195" s="373">
        <v>153</v>
      </c>
      <c r="B1195" s="374">
        <f>NT!C307</f>
        <v>295</v>
      </c>
      <c r="C1195" s="374">
        <f>NT!D307</f>
        <v>0</v>
      </c>
      <c r="D1195" s="374">
        <v>0</v>
      </c>
      <c r="E1195" s="374"/>
      <c r="F1195" s="374"/>
      <c r="G1195" s="375">
        <f t="shared" si="40"/>
        <v>0</v>
      </c>
      <c r="H1195" s="375">
        <f t="shared" si="41"/>
        <v>0</v>
      </c>
      <c r="I1195" s="376">
        <v>0</v>
      </c>
    </row>
    <row r="1196" spans="1:9" x14ac:dyDescent="0.25">
      <c r="A1196" s="373">
        <v>153</v>
      </c>
      <c r="B1196" s="374">
        <f>NT!C308</f>
        <v>296</v>
      </c>
      <c r="C1196" s="374">
        <f>NT!D308</f>
        <v>0</v>
      </c>
      <c r="D1196" s="374">
        <v>0</v>
      </c>
      <c r="E1196" s="374"/>
      <c r="F1196" s="374"/>
      <c r="G1196" s="375">
        <f t="shared" si="40"/>
        <v>0</v>
      </c>
      <c r="H1196" s="375">
        <f t="shared" si="41"/>
        <v>0</v>
      </c>
      <c r="I1196" s="376">
        <v>0</v>
      </c>
    </row>
    <row r="1197" spans="1:9" x14ac:dyDescent="0.25">
      <c r="A1197" s="373">
        <v>153</v>
      </c>
      <c r="B1197" s="374">
        <f>NT!C309</f>
        <v>297</v>
      </c>
      <c r="C1197" s="374">
        <f>NT!D309</f>
        <v>34881</v>
      </c>
      <c r="D1197" s="374">
        <v>0</v>
      </c>
      <c r="E1197" s="374"/>
      <c r="F1197" s="374"/>
      <c r="G1197" s="375">
        <f t="shared" si="40"/>
        <v>10359.656999999999</v>
      </c>
      <c r="H1197" s="375">
        <f t="shared" si="41"/>
        <v>0</v>
      </c>
      <c r="I1197" s="376">
        <v>0</v>
      </c>
    </row>
    <row r="1198" spans="1:9" x14ac:dyDescent="0.25">
      <c r="A1198" s="373">
        <v>153</v>
      </c>
      <c r="B1198" s="374">
        <f>NT!C310</f>
        <v>298</v>
      </c>
      <c r="C1198" s="374">
        <f>NT!D310</f>
        <v>0</v>
      </c>
      <c r="D1198" s="374">
        <v>0</v>
      </c>
      <c r="E1198" s="374"/>
      <c r="F1198" s="374"/>
      <c r="G1198" s="375">
        <f t="shared" si="40"/>
        <v>0</v>
      </c>
      <c r="H1198" s="375">
        <f t="shared" si="41"/>
        <v>0</v>
      </c>
      <c r="I1198" s="376">
        <v>0</v>
      </c>
    </row>
    <row r="1199" spans="1:9" x14ac:dyDescent="0.25">
      <c r="A1199" s="373">
        <v>153</v>
      </c>
      <c r="B1199" s="374">
        <f>NT!C311</f>
        <v>299</v>
      </c>
      <c r="C1199" s="374">
        <f>NT!D311</f>
        <v>0</v>
      </c>
      <c r="D1199" s="374">
        <v>0</v>
      </c>
      <c r="E1199" s="374"/>
      <c r="F1199" s="374"/>
      <c r="G1199" s="375">
        <f t="shared" si="40"/>
        <v>0</v>
      </c>
      <c r="H1199" s="375">
        <f t="shared" si="41"/>
        <v>0</v>
      </c>
      <c r="I1199" s="376">
        <v>0</v>
      </c>
    </row>
    <row r="1200" spans="1:9" x14ac:dyDescent="0.25">
      <c r="A1200" s="373">
        <v>153</v>
      </c>
      <c r="B1200" s="374">
        <f>NT!C312</f>
        <v>300</v>
      </c>
      <c r="C1200" s="374">
        <f>NT!D312</f>
        <v>0</v>
      </c>
      <c r="D1200" s="374">
        <v>0</v>
      </c>
      <c r="E1200" s="374"/>
      <c r="F1200" s="374"/>
      <c r="G1200" s="375">
        <f t="shared" si="40"/>
        <v>0</v>
      </c>
      <c r="H1200" s="375">
        <f t="shared" si="41"/>
        <v>0</v>
      </c>
      <c r="I1200" s="376">
        <v>0</v>
      </c>
    </row>
    <row r="1201" spans="1:9" x14ac:dyDescent="0.25">
      <c r="A1201" s="373">
        <v>153</v>
      </c>
      <c r="B1201" s="374">
        <f>NT!C313</f>
        <v>301</v>
      </c>
      <c r="C1201" s="374">
        <f>NT!D313</f>
        <v>0</v>
      </c>
      <c r="D1201" s="374">
        <v>0</v>
      </c>
      <c r="E1201" s="374"/>
      <c r="F1201" s="374"/>
      <c r="G1201" s="375">
        <f t="shared" si="40"/>
        <v>0</v>
      </c>
      <c r="H1201" s="375">
        <f t="shared" si="41"/>
        <v>0</v>
      </c>
      <c r="I1201" s="376">
        <v>0</v>
      </c>
    </row>
    <row r="1202" spans="1:9" x14ac:dyDescent="0.25">
      <c r="A1202" s="373">
        <v>153</v>
      </c>
      <c r="B1202" s="374">
        <f>NT!C314</f>
        <v>302</v>
      </c>
      <c r="C1202" s="374">
        <f>NT!D314</f>
        <v>0</v>
      </c>
      <c r="D1202" s="374">
        <v>0</v>
      </c>
      <c r="E1202" s="374"/>
      <c r="F1202" s="374"/>
      <c r="G1202" s="375">
        <f t="shared" si="40"/>
        <v>0</v>
      </c>
      <c r="H1202" s="375">
        <f t="shared" si="41"/>
        <v>0</v>
      </c>
      <c r="I1202" s="376">
        <v>0</v>
      </c>
    </row>
    <row r="1203" spans="1:9" x14ac:dyDescent="0.25">
      <c r="A1203" s="373">
        <v>153</v>
      </c>
      <c r="B1203" s="374">
        <f>NT!C315</f>
        <v>303</v>
      </c>
      <c r="C1203" s="374">
        <f>NT!D315</f>
        <v>0</v>
      </c>
      <c r="D1203" s="374">
        <v>0</v>
      </c>
      <c r="E1203" s="374"/>
      <c r="F1203" s="374"/>
      <c r="G1203" s="375">
        <f t="shared" si="40"/>
        <v>0</v>
      </c>
      <c r="H1203" s="375">
        <f t="shared" si="41"/>
        <v>0</v>
      </c>
      <c r="I1203" s="376">
        <v>0</v>
      </c>
    </row>
    <row r="1204" spans="1:9" x14ac:dyDescent="0.25">
      <c r="A1204" s="373">
        <v>153</v>
      </c>
      <c r="B1204" s="374">
        <f>NT!C316</f>
        <v>304</v>
      </c>
      <c r="C1204" s="374">
        <f>NT!D316</f>
        <v>0</v>
      </c>
      <c r="D1204" s="374">
        <v>0</v>
      </c>
      <c r="E1204" s="374"/>
      <c r="F1204" s="374"/>
      <c r="G1204" s="375">
        <f t="shared" si="40"/>
        <v>0</v>
      </c>
      <c r="H1204" s="375">
        <f t="shared" si="41"/>
        <v>0</v>
      </c>
      <c r="I1204" s="376">
        <v>0</v>
      </c>
    </row>
    <row r="1205" spans="1:9" x14ac:dyDescent="0.25">
      <c r="A1205" s="373">
        <v>153</v>
      </c>
      <c r="B1205" s="374">
        <f>NT!C317</f>
        <v>305</v>
      </c>
      <c r="C1205" s="374">
        <f>NT!D317</f>
        <v>0</v>
      </c>
      <c r="D1205" s="374">
        <v>0</v>
      </c>
      <c r="E1205" s="374"/>
      <c r="F1205" s="374"/>
      <c r="G1205" s="375">
        <f t="shared" si="40"/>
        <v>0</v>
      </c>
      <c r="H1205" s="375">
        <f t="shared" si="41"/>
        <v>0</v>
      </c>
      <c r="I1205" s="376">
        <v>0</v>
      </c>
    </row>
    <row r="1206" spans="1:9" x14ac:dyDescent="0.25">
      <c r="A1206" s="373">
        <v>153</v>
      </c>
      <c r="B1206" s="374">
        <f>NT!C318</f>
        <v>306</v>
      </c>
      <c r="C1206" s="374">
        <f>NT!D318</f>
        <v>0</v>
      </c>
      <c r="D1206" s="374">
        <v>0</v>
      </c>
      <c r="E1206" s="374"/>
      <c r="F1206" s="374"/>
      <c r="G1206" s="375">
        <f t="shared" si="40"/>
        <v>0</v>
      </c>
      <c r="H1206" s="375">
        <f t="shared" si="41"/>
        <v>0</v>
      </c>
      <c r="I1206" s="376">
        <v>0</v>
      </c>
    </row>
    <row r="1207" spans="1:9" x14ac:dyDescent="0.25">
      <c r="A1207" s="373">
        <v>153</v>
      </c>
      <c r="B1207" s="374">
        <f>NT!C319</f>
        <v>307</v>
      </c>
      <c r="C1207" s="374">
        <f>NT!D319</f>
        <v>0</v>
      </c>
      <c r="D1207" s="374">
        <v>0</v>
      </c>
      <c r="E1207" s="374"/>
      <c r="F1207" s="374"/>
      <c r="G1207" s="375">
        <f t="shared" si="40"/>
        <v>0</v>
      </c>
      <c r="H1207" s="375">
        <f t="shared" si="41"/>
        <v>0</v>
      </c>
      <c r="I1207" s="376">
        <v>0</v>
      </c>
    </row>
    <row r="1208" spans="1:9" x14ac:dyDescent="0.25">
      <c r="A1208" s="373">
        <v>153</v>
      </c>
      <c r="B1208" s="374">
        <f>NT!C320</f>
        <v>308</v>
      </c>
      <c r="C1208" s="374">
        <f>NT!D320</f>
        <v>0</v>
      </c>
      <c r="D1208" s="374">
        <v>0</v>
      </c>
      <c r="E1208" s="374"/>
      <c r="F1208" s="374"/>
      <c r="G1208" s="375">
        <f t="shared" si="40"/>
        <v>0</v>
      </c>
      <c r="H1208" s="375">
        <f t="shared" si="41"/>
        <v>0</v>
      </c>
      <c r="I1208" s="376">
        <v>0</v>
      </c>
    </row>
    <row r="1209" spans="1:9" x14ac:dyDescent="0.25">
      <c r="A1209" s="373">
        <v>153</v>
      </c>
      <c r="B1209" s="374">
        <f>NT!C321</f>
        <v>309</v>
      </c>
      <c r="C1209" s="374">
        <f>NT!D321</f>
        <v>0</v>
      </c>
      <c r="D1209" s="374">
        <v>0</v>
      </c>
      <c r="E1209" s="374"/>
      <c r="F1209" s="374"/>
      <c r="G1209" s="375">
        <f t="shared" si="40"/>
        <v>0</v>
      </c>
      <c r="H1209" s="375">
        <f t="shared" si="41"/>
        <v>0</v>
      </c>
      <c r="I1209" s="376">
        <v>0</v>
      </c>
    </row>
    <row r="1210" spans="1:9" x14ac:dyDescent="0.25">
      <c r="A1210" s="373">
        <v>153</v>
      </c>
      <c r="B1210" s="374">
        <f>NT!C322</f>
        <v>310</v>
      </c>
      <c r="C1210" s="374">
        <f>NT!D322</f>
        <v>0</v>
      </c>
      <c r="D1210" s="374">
        <v>0</v>
      </c>
      <c r="E1210" s="374"/>
      <c r="F1210" s="374"/>
      <c r="G1210" s="375">
        <f t="shared" si="40"/>
        <v>0</v>
      </c>
      <c r="H1210" s="375">
        <f t="shared" si="41"/>
        <v>0</v>
      </c>
      <c r="I1210" s="376">
        <v>0</v>
      </c>
    </row>
    <row r="1211" spans="1:9" x14ac:dyDescent="0.25">
      <c r="A1211" s="373">
        <v>153</v>
      </c>
      <c r="B1211" s="374">
        <f>NT!C323</f>
        <v>311</v>
      </c>
      <c r="C1211" s="374">
        <f>NT!D323</f>
        <v>0</v>
      </c>
      <c r="D1211" s="374">
        <v>0</v>
      </c>
      <c r="E1211" s="374"/>
      <c r="F1211" s="374"/>
      <c r="G1211" s="375">
        <f t="shared" si="40"/>
        <v>0</v>
      </c>
      <c r="H1211" s="375">
        <f t="shared" si="41"/>
        <v>0</v>
      </c>
      <c r="I1211" s="376">
        <v>0</v>
      </c>
    </row>
    <row r="1212" spans="1:9" x14ac:dyDescent="0.25">
      <c r="A1212" s="373">
        <v>153</v>
      </c>
      <c r="B1212" s="374">
        <f>NT!C324</f>
        <v>312</v>
      </c>
      <c r="C1212" s="374">
        <f>NT!D324</f>
        <v>0</v>
      </c>
      <c r="D1212" s="374">
        <v>0</v>
      </c>
      <c r="E1212" s="374"/>
      <c r="F1212" s="374"/>
      <c r="G1212" s="375">
        <f t="shared" si="40"/>
        <v>0</v>
      </c>
      <c r="H1212" s="375">
        <f t="shared" si="41"/>
        <v>0</v>
      </c>
      <c r="I1212" s="376">
        <v>0</v>
      </c>
    </row>
    <row r="1213" spans="1:9" x14ac:dyDescent="0.25">
      <c r="A1213" s="373">
        <v>153</v>
      </c>
      <c r="B1213" s="374">
        <f>NT!C325</f>
        <v>313</v>
      </c>
      <c r="C1213" s="374">
        <f>NT!D325</f>
        <v>0</v>
      </c>
      <c r="D1213" s="374">
        <v>0</v>
      </c>
      <c r="E1213" s="374"/>
      <c r="F1213" s="374"/>
      <c r="G1213" s="375">
        <f t="shared" si="40"/>
        <v>0</v>
      </c>
      <c r="H1213" s="375">
        <f t="shared" si="41"/>
        <v>0</v>
      </c>
      <c r="I1213" s="376">
        <v>0</v>
      </c>
    </row>
    <row r="1214" spans="1:9" x14ac:dyDescent="0.25">
      <c r="A1214" s="373">
        <v>153</v>
      </c>
      <c r="B1214" s="374">
        <f>NT!C326</f>
        <v>314</v>
      </c>
      <c r="C1214" s="374">
        <f>NT!D326</f>
        <v>0</v>
      </c>
      <c r="D1214" s="374">
        <v>0</v>
      </c>
      <c r="E1214" s="374"/>
      <c r="F1214" s="374"/>
      <c r="G1214" s="375">
        <f t="shared" si="40"/>
        <v>0</v>
      </c>
      <c r="H1214" s="375">
        <f t="shared" si="41"/>
        <v>0</v>
      </c>
      <c r="I1214" s="376">
        <v>0</v>
      </c>
    </row>
    <row r="1215" spans="1:9" x14ac:dyDescent="0.25">
      <c r="A1215" s="373">
        <v>153</v>
      </c>
      <c r="B1215" s="374">
        <f>NT!C327</f>
        <v>315</v>
      </c>
      <c r="C1215" s="374">
        <f>NT!D327</f>
        <v>0</v>
      </c>
      <c r="D1215" s="374">
        <v>0</v>
      </c>
      <c r="E1215" s="374"/>
      <c r="F1215" s="374"/>
      <c r="G1215" s="375">
        <f t="shared" si="40"/>
        <v>0</v>
      </c>
      <c r="H1215" s="375">
        <f t="shared" si="41"/>
        <v>0</v>
      </c>
      <c r="I1215" s="376">
        <v>0</v>
      </c>
    </row>
    <row r="1216" spans="1:9" x14ac:dyDescent="0.25">
      <c r="A1216" s="373">
        <v>153</v>
      </c>
      <c r="B1216" s="374">
        <f>NT!C328</f>
        <v>316</v>
      </c>
      <c r="C1216" s="374">
        <f>NT!D328</f>
        <v>0</v>
      </c>
      <c r="D1216" s="374">
        <v>0</v>
      </c>
      <c r="E1216" s="374"/>
      <c r="F1216" s="374"/>
      <c r="G1216" s="375">
        <f t="shared" si="40"/>
        <v>0</v>
      </c>
      <c r="H1216" s="375">
        <f t="shared" si="41"/>
        <v>0</v>
      </c>
      <c r="I1216" s="376">
        <v>0</v>
      </c>
    </row>
    <row r="1217" spans="1:9" x14ac:dyDescent="0.25">
      <c r="A1217" s="373">
        <v>153</v>
      </c>
      <c r="B1217" s="374">
        <f>NT!C329</f>
        <v>317</v>
      </c>
      <c r="C1217" s="374">
        <f>NT!D329</f>
        <v>945013</v>
      </c>
      <c r="D1217" s="374">
        <v>0</v>
      </c>
      <c r="E1217" s="374"/>
      <c r="F1217" s="374"/>
      <c r="G1217" s="375">
        <f t="shared" si="40"/>
        <v>299569.12099999998</v>
      </c>
      <c r="H1217" s="375">
        <f t="shared" si="41"/>
        <v>0</v>
      </c>
      <c r="I1217" s="376">
        <v>0</v>
      </c>
    </row>
    <row r="1218" spans="1:9" x14ac:dyDescent="0.25">
      <c r="A1218" s="373">
        <v>153</v>
      </c>
      <c r="B1218" s="374">
        <f>NT!C330</f>
        <v>318</v>
      </c>
      <c r="C1218" s="374">
        <f>NT!D330</f>
        <v>0</v>
      </c>
      <c r="D1218" s="374">
        <v>0</v>
      </c>
      <c r="E1218" s="374"/>
      <c r="F1218" s="374"/>
      <c r="G1218" s="375">
        <f t="shared" si="40"/>
        <v>0</v>
      </c>
      <c r="H1218" s="375">
        <f t="shared" si="41"/>
        <v>0</v>
      </c>
      <c r="I1218" s="376">
        <v>0</v>
      </c>
    </row>
    <row r="1219" spans="1:9" x14ac:dyDescent="0.25">
      <c r="A1219" s="373">
        <v>153</v>
      </c>
      <c r="B1219" s="374">
        <f>NT!C331</f>
        <v>319</v>
      </c>
      <c r="C1219" s="374">
        <f>NT!D331</f>
        <v>0</v>
      </c>
      <c r="D1219" s="374">
        <v>0</v>
      </c>
      <c r="E1219" s="374"/>
      <c r="F1219" s="374"/>
      <c r="G1219" s="375">
        <f t="shared" si="40"/>
        <v>0</v>
      </c>
      <c r="H1219" s="375">
        <f t="shared" si="41"/>
        <v>0</v>
      </c>
      <c r="I1219" s="376">
        <v>0</v>
      </c>
    </row>
    <row r="1220" spans="1:9" x14ac:dyDescent="0.25">
      <c r="A1220" s="373">
        <v>153</v>
      </c>
      <c r="B1220" s="374">
        <f>NT!C332</f>
        <v>320</v>
      </c>
      <c r="C1220" s="374">
        <f>NT!D332</f>
        <v>0</v>
      </c>
      <c r="D1220" s="374">
        <v>0</v>
      </c>
      <c r="E1220" s="374"/>
      <c r="F1220" s="374"/>
      <c r="G1220" s="375">
        <f t="shared" si="40"/>
        <v>0</v>
      </c>
      <c r="H1220" s="375">
        <f t="shared" si="41"/>
        <v>0</v>
      </c>
      <c r="I1220" s="376">
        <v>0</v>
      </c>
    </row>
    <row r="1221" spans="1:9" x14ac:dyDescent="0.25">
      <c r="A1221" s="373">
        <v>153</v>
      </c>
      <c r="B1221" s="374">
        <f>NT!C333</f>
        <v>321</v>
      </c>
      <c r="C1221" s="374">
        <f>NT!D333</f>
        <v>0</v>
      </c>
      <c r="D1221" s="374">
        <v>0</v>
      </c>
      <c r="E1221" s="374"/>
      <c r="F1221" s="374"/>
      <c r="G1221" s="375">
        <f t="shared" si="40"/>
        <v>0</v>
      </c>
      <c r="H1221" s="375">
        <f t="shared" si="41"/>
        <v>0</v>
      </c>
      <c r="I1221" s="376">
        <v>0</v>
      </c>
    </row>
    <row r="1222" spans="1:9" x14ac:dyDescent="0.25">
      <c r="A1222" s="373">
        <v>153</v>
      </c>
      <c r="B1222" s="374">
        <f>NT!C334</f>
        <v>322</v>
      </c>
      <c r="C1222" s="374">
        <f>NT!D334</f>
        <v>0</v>
      </c>
      <c r="D1222" s="374">
        <v>0</v>
      </c>
      <c r="E1222" s="374"/>
      <c r="F1222" s="374"/>
      <c r="G1222" s="375">
        <f t="shared" si="40"/>
        <v>0</v>
      </c>
      <c r="H1222" s="375">
        <f t="shared" si="41"/>
        <v>0</v>
      </c>
      <c r="I1222" s="376">
        <v>0</v>
      </c>
    </row>
    <row r="1223" spans="1:9" x14ac:dyDescent="0.25">
      <c r="A1223" s="373">
        <v>153</v>
      </c>
      <c r="B1223" s="374">
        <f>NT!C335</f>
        <v>323</v>
      </c>
      <c r="C1223" s="374">
        <f>NT!D335</f>
        <v>0</v>
      </c>
      <c r="D1223" s="374">
        <v>0</v>
      </c>
      <c r="E1223" s="374"/>
      <c r="F1223" s="374"/>
      <c r="G1223" s="375">
        <f t="shared" si="40"/>
        <v>0</v>
      </c>
      <c r="H1223" s="375">
        <f t="shared" si="41"/>
        <v>0</v>
      </c>
      <c r="I1223" s="376">
        <v>0</v>
      </c>
    </row>
    <row r="1224" spans="1:9" x14ac:dyDescent="0.25">
      <c r="A1224" s="373">
        <v>153</v>
      </c>
      <c r="B1224" s="374">
        <f>NT!C336</f>
        <v>324</v>
      </c>
      <c r="C1224" s="374">
        <f>NT!D336</f>
        <v>0</v>
      </c>
      <c r="D1224" s="374">
        <v>0</v>
      </c>
      <c r="E1224" s="374"/>
      <c r="F1224" s="374"/>
      <c r="G1224" s="375">
        <f t="shared" si="40"/>
        <v>0</v>
      </c>
      <c r="H1224" s="375">
        <f t="shared" si="41"/>
        <v>0</v>
      </c>
      <c r="I1224" s="376">
        <v>0</v>
      </c>
    </row>
    <row r="1225" spans="1:9" x14ac:dyDescent="0.25">
      <c r="A1225" s="373">
        <v>153</v>
      </c>
      <c r="B1225" s="374">
        <f>NT!C337</f>
        <v>325</v>
      </c>
      <c r="C1225" s="374">
        <f>NT!D337</f>
        <v>0</v>
      </c>
      <c r="D1225" s="374">
        <v>0</v>
      </c>
      <c r="E1225" s="374"/>
      <c r="F1225" s="374"/>
      <c r="G1225" s="375">
        <f t="shared" si="40"/>
        <v>0</v>
      </c>
      <c r="H1225" s="375">
        <f t="shared" si="41"/>
        <v>0</v>
      </c>
      <c r="I1225" s="376">
        <v>0</v>
      </c>
    </row>
    <row r="1226" spans="1:9" x14ac:dyDescent="0.25">
      <c r="A1226" s="373">
        <v>153</v>
      </c>
      <c r="B1226" s="374">
        <f>NT!C338</f>
        <v>326</v>
      </c>
      <c r="C1226" s="374">
        <f>NT!D338</f>
        <v>0</v>
      </c>
      <c r="D1226" s="374">
        <v>0</v>
      </c>
      <c r="E1226" s="374"/>
      <c r="F1226" s="374"/>
      <c r="G1226" s="375">
        <f t="shared" si="40"/>
        <v>0</v>
      </c>
      <c r="H1226" s="375">
        <f t="shared" si="41"/>
        <v>0</v>
      </c>
      <c r="I1226" s="376">
        <v>0</v>
      </c>
    </row>
    <row r="1227" spans="1:9" x14ac:dyDescent="0.25">
      <c r="A1227" s="373">
        <v>153</v>
      </c>
      <c r="B1227" s="374">
        <f>NT!C339</f>
        <v>327</v>
      </c>
      <c r="C1227" s="374">
        <f>NT!D339</f>
        <v>1220954</v>
      </c>
      <c r="D1227" s="374">
        <v>0</v>
      </c>
      <c r="E1227" s="374"/>
      <c r="F1227" s="374"/>
      <c r="G1227" s="375">
        <f t="shared" si="40"/>
        <v>399251.95800000004</v>
      </c>
      <c r="H1227" s="375">
        <f t="shared" si="41"/>
        <v>0</v>
      </c>
      <c r="I1227" s="376">
        <v>0</v>
      </c>
    </row>
    <row r="1228" spans="1:9" x14ac:dyDescent="0.25">
      <c r="A1228" s="373">
        <v>153</v>
      </c>
      <c r="B1228" s="374">
        <f>NT!C340</f>
        <v>328</v>
      </c>
      <c r="C1228" s="374">
        <f>NT!D340</f>
        <v>0</v>
      </c>
      <c r="D1228" s="374">
        <v>0</v>
      </c>
      <c r="E1228" s="374"/>
      <c r="F1228" s="374"/>
      <c r="G1228" s="375">
        <f t="shared" si="40"/>
        <v>0</v>
      </c>
      <c r="H1228" s="375">
        <f t="shared" si="41"/>
        <v>0</v>
      </c>
      <c r="I1228" s="376">
        <v>0</v>
      </c>
    </row>
    <row r="1229" spans="1:9" x14ac:dyDescent="0.25">
      <c r="A1229" s="373">
        <v>153</v>
      </c>
      <c r="B1229" s="374">
        <f>NT!C341</f>
        <v>329</v>
      </c>
      <c r="C1229" s="374">
        <f>NT!D341</f>
        <v>0</v>
      </c>
      <c r="D1229" s="374">
        <v>0</v>
      </c>
      <c r="E1229" s="374"/>
      <c r="F1229" s="374"/>
      <c r="G1229" s="375">
        <f t="shared" si="40"/>
        <v>0</v>
      </c>
      <c r="H1229" s="375">
        <f t="shared" si="41"/>
        <v>0</v>
      </c>
      <c r="I1229" s="376">
        <v>0</v>
      </c>
    </row>
    <row r="1230" spans="1:9" x14ac:dyDescent="0.25">
      <c r="A1230" s="373">
        <v>153</v>
      </c>
      <c r="B1230" s="374">
        <f>NT!C342</f>
        <v>330</v>
      </c>
      <c r="C1230" s="374">
        <f>NT!D342</f>
        <v>0</v>
      </c>
      <c r="D1230" s="374">
        <v>0</v>
      </c>
      <c r="E1230" s="374"/>
      <c r="F1230" s="374"/>
      <c r="G1230" s="375">
        <f t="shared" si="40"/>
        <v>0</v>
      </c>
      <c r="H1230" s="375">
        <f t="shared" si="41"/>
        <v>0</v>
      </c>
      <c r="I1230" s="376">
        <v>0</v>
      </c>
    </row>
    <row r="1231" spans="1:9" x14ac:dyDescent="0.25">
      <c r="A1231" s="373">
        <v>153</v>
      </c>
      <c r="B1231" s="374">
        <f>NT!C343</f>
        <v>331</v>
      </c>
      <c r="C1231" s="374">
        <f>NT!D343</f>
        <v>0</v>
      </c>
      <c r="D1231" s="374">
        <v>0</v>
      </c>
      <c r="E1231" s="374"/>
      <c r="F1231" s="374"/>
      <c r="G1231" s="375">
        <f t="shared" si="40"/>
        <v>0</v>
      </c>
      <c r="H1231" s="375">
        <f t="shared" si="41"/>
        <v>0</v>
      </c>
      <c r="I1231" s="376">
        <v>0</v>
      </c>
    </row>
    <row r="1232" spans="1:9" x14ac:dyDescent="0.25">
      <c r="A1232" s="373">
        <v>153</v>
      </c>
      <c r="B1232" s="374">
        <f>NT!C344</f>
        <v>332</v>
      </c>
      <c r="C1232" s="374">
        <f>NT!D344</f>
        <v>0</v>
      </c>
      <c r="D1232" s="374">
        <v>0</v>
      </c>
      <c r="E1232" s="374"/>
      <c r="F1232" s="374"/>
      <c r="G1232" s="375">
        <f t="shared" ref="G1232:G1295" si="42">B1232/1000*C1232</f>
        <v>0</v>
      </c>
      <c r="H1232" s="375">
        <f t="shared" ref="H1232:H1295" si="43">ABS(C1232-ROUND(C1232,0))</f>
        <v>0</v>
      </c>
      <c r="I1232" s="376">
        <v>0</v>
      </c>
    </row>
    <row r="1233" spans="1:9" x14ac:dyDescent="0.25">
      <c r="A1233" s="373">
        <v>153</v>
      </c>
      <c r="B1233" s="374">
        <f>NT!C345</f>
        <v>333</v>
      </c>
      <c r="C1233" s="374">
        <f>NT!D345</f>
        <v>0</v>
      </c>
      <c r="D1233" s="374">
        <v>0</v>
      </c>
      <c r="E1233" s="374"/>
      <c r="F1233" s="374"/>
      <c r="G1233" s="375">
        <f t="shared" si="42"/>
        <v>0</v>
      </c>
      <c r="H1233" s="375">
        <f t="shared" si="43"/>
        <v>0</v>
      </c>
      <c r="I1233" s="376">
        <v>0</v>
      </c>
    </row>
    <row r="1234" spans="1:9" x14ac:dyDescent="0.25">
      <c r="A1234" s="373">
        <v>153</v>
      </c>
      <c r="B1234" s="374">
        <f>NT!C346</f>
        <v>334</v>
      </c>
      <c r="C1234" s="374">
        <f>NT!D346</f>
        <v>0</v>
      </c>
      <c r="D1234" s="374">
        <v>0</v>
      </c>
      <c r="E1234" s="374"/>
      <c r="F1234" s="374"/>
      <c r="G1234" s="375">
        <f t="shared" si="42"/>
        <v>0</v>
      </c>
      <c r="H1234" s="375">
        <f t="shared" si="43"/>
        <v>0</v>
      </c>
      <c r="I1234" s="376">
        <v>0</v>
      </c>
    </row>
    <row r="1235" spans="1:9" x14ac:dyDescent="0.25">
      <c r="A1235" s="373">
        <v>153</v>
      </c>
      <c r="B1235" s="374">
        <f>NT!C347</f>
        <v>335</v>
      </c>
      <c r="C1235" s="374">
        <f>NT!D347</f>
        <v>0</v>
      </c>
      <c r="D1235" s="374">
        <v>0</v>
      </c>
      <c r="E1235" s="374"/>
      <c r="F1235" s="374"/>
      <c r="G1235" s="375">
        <f t="shared" si="42"/>
        <v>0</v>
      </c>
      <c r="H1235" s="375">
        <f t="shared" si="43"/>
        <v>0</v>
      </c>
      <c r="I1235" s="376">
        <v>0</v>
      </c>
    </row>
    <row r="1236" spans="1:9" x14ac:dyDescent="0.25">
      <c r="A1236" s="373">
        <v>153</v>
      </c>
      <c r="B1236" s="374">
        <f>NT!C348</f>
        <v>336</v>
      </c>
      <c r="C1236" s="374">
        <f>NT!D348</f>
        <v>0</v>
      </c>
      <c r="D1236" s="374">
        <v>0</v>
      </c>
      <c r="E1236" s="374"/>
      <c r="F1236" s="374"/>
      <c r="G1236" s="375">
        <f t="shared" si="42"/>
        <v>0</v>
      </c>
      <c r="H1236" s="375">
        <f t="shared" si="43"/>
        <v>0</v>
      </c>
      <c r="I1236" s="376">
        <v>0</v>
      </c>
    </row>
    <row r="1237" spans="1:9" x14ac:dyDescent="0.25">
      <c r="A1237" s="373">
        <v>153</v>
      </c>
      <c r="B1237" s="374">
        <f>NT!C349</f>
        <v>337</v>
      </c>
      <c r="C1237" s="374">
        <f>NT!D349</f>
        <v>0</v>
      </c>
      <c r="D1237" s="374">
        <v>0</v>
      </c>
      <c r="E1237" s="374"/>
      <c r="F1237" s="374"/>
      <c r="G1237" s="375">
        <f t="shared" si="42"/>
        <v>0</v>
      </c>
      <c r="H1237" s="375">
        <f t="shared" si="43"/>
        <v>0</v>
      </c>
      <c r="I1237" s="376">
        <v>0</v>
      </c>
    </row>
    <row r="1238" spans="1:9" x14ac:dyDescent="0.25">
      <c r="A1238" s="373">
        <v>153</v>
      </c>
      <c r="B1238" s="374">
        <f>NT!C350</f>
        <v>338</v>
      </c>
      <c r="C1238" s="374">
        <f>NT!D350</f>
        <v>0</v>
      </c>
      <c r="D1238" s="374">
        <v>0</v>
      </c>
      <c r="E1238" s="374"/>
      <c r="F1238" s="374"/>
      <c r="G1238" s="375">
        <f t="shared" si="42"/>
        <v>0</v>
      </c>
      <c r="H1238" s="375">
        <f t="shared" si="43"/>
        <v>0</v>
      </c>
      <c r="I1238" s="376">
        <v>0</v>
      </c>
    </row>
    <row r="1239" spans="1:9" x14ac:dyDescent="0.25">
      <c r="A1239" s="373">
        <v>153</v>
      </c>
      <c r="B1239" s="374">
        <f>NT!C351</f>
        <v>339</v>
      </c>
      <c r="C1239" s="374">
        <f>NT!D351</f>
        <v>0</v>
      </c>
      <c r="D1239" s="374">
        <v>0</v>
      </c>
      <c r="E1239" s="374"/>
      <c r="F1239" s="374"/>
      <c r="G1239" s="375">
        <f t="shared" si="42"/>
        <v>0</v>
      </c>
      <c r="H1239" s="375">
        <f t="shared" si="43"/>
        <v>0</v>
      </c>
      <c r="I1239" s="376">
        <v>0</v>
      </c>
    </row>
    <row r="1240" spans="1:9" x14ac:dyDescent="0.25">
      <c r="A1240" s="373">
        <v>153</v>
      </c>
      <c r="B1240" s="374">
        <f>NT!C352</f>
        <v>340</v>
      </c>
      <c r="C1240" s="374">
        <f>NT!D352</f>
        <v>0</v>
      </c>
      <c r="D1240" s="374">
        <v>0</v>
      </c>
      <c r="E1240" s="374"/>
      <c r="F1240" s="374"/>
      <c r="G1240" s="375">
        <f t="shared" si="42"/>
        <v>0</v>
      </c>
      <c r="H1240" s="375">
        <f t="shared" si="43"/>
        <v>0</v>
      </c>
      <c r="I1240" s="376">
        <v>0</v>
      </c>
    </row>
    <row r="1241" spans="1:9" x14ac:dyDescent="0.25">
      <c r="A1241" s="373">
        <v>153</v>
      </c>
      <c r="B1241" s="374">
        <f>NT!C353</f>
        <v>341</v>
      </c>
      <c r="C1241" s="374">
        <f>NT!D353</f>
        <v>0</v>
      </c>
      <c r="D1241" s="374">
        <v>0</v>
      </c>
      <c r="E1241" s="374"/>
      <c r="F1241" s="374"/>
      <c r="G1241" s="375">
        <f t="shared" si="42"/>
        <v>0</v>
      </c>
      <c r="H1241" s="375">
        <f t="shared" si="43"/>
        <v>0</v>
      </c>
      <c r="I1241" s="376">
        <v>0</v>
      </c>
    </row>
    <row r="1242" spans="1:9" x14ac:dyDescent="0.25">
      <c r="A1242" s="373">
        <v>153</v>
      </c>
      <c r="B1242" s="374">
        <f>NT!C354</f>
        <v>342</v>
      </c>
      <c r="C1242" s="374">
        <f>NT!D354</f>
        <v>0</v>
      </c>
      <c r="D1242" s="374">
        <v>0</v>
      </c>
      <c r="E1242" s="374"/>
      <c r="F1242" s="374"/>
      <c r="G1242" s="375">
        <f t="shared" si="42"/>
        <v>0</v>
      </c>
      <c r="H1242" s="375">
        <f t="shared" si="43"/>
        <v>0</v>
      </c>
      <c r="I1242" s="376">
        <v>0</v>
      </c>
    </row>
    <row r="1243" spans="1:9" x14ac:dyDescent="0.25">
      <c r="A1243" s="373">
        <v>153</v>
      </c>
      <c r="B1243" s="374">
        <f>NT!C355</f>
        <v>343</v>
      </c>
      <c r="C1243" s="374">
        <f>NT!D355</f>
        <v>0</v>
      </c>
      <c r="D1243" s="374">
        <v>0</v>
      </c>
      <c r="E1243" s="374"/>
      <c r="F1243" s="374"/>
      <c r="G1243" s="375">
        <f t="shared" si="42"/>
        <v>0</v>
      </c>
      <c r="H1243" s="375">
        <f t="shared" si="43"/>
        <v>0</v>
      </c>
      <c r="I1243" s="376">
        <v>0</v>
      </c>
    </row>
    <row r="1244" spans="1:9" x14ac:dyDescent="0.25">
      <c r="A1244" s="373">
        <v>153</v>
      </c>
      <c r="B1244" s="374">
        <f>NT!C356</f>
        <v>344</v>
      </c>
      <c r="C1244" s="374">
        <f>NT!D356</f>
        <v>0</v>
      </c>
      <c r="D1244" s="374">
        <v>0</v>
      </c>
      <c r="E1244" s="374"/>
      <c r="F1244" s="374"/>
      <c r="G1244" s="375">
        <f t="shared" si="42"/>
        <v>0</v>
      </c>
      <c r="H1244" s="375">
        <f t="shared" si="43"/>
        <v>0</v>
      </c>
      <c r="I1244" s="376">
        <v>0</v>
      </c>
    </row>
    <row r="1245" spans="1:9" x14ac:dyDescent="0.25">
      <c r="A1245" s="373">
        <v>153</v>
      </c>
      <c r="B1245" s="374">
        <f>NT!C357</f>
        <v>345</v>
      </c>
      <c r="C1245" s="374">
        <f>NT!D357</f>
        <v>0</v>
      </c>
      <c r="D1245" s="374">
        <v>0</v>
      </c>
      <c r="E1245" s="374"/>
      <c r="F1245" s="374"/>
      <c r="G1245" s="375">
        <f t="shared" si="42"/>
        <v>0</v>
      </c>
      <c r="H1245" s="375">
        <f t="shared" si="43"/>
        <v>0</v>
      </c>
      <c r="I1245" s="376">
        <v>0</v>
      </c>
    </row>
    <row r="1246" spans="1:9" x14ac:dyDescent="0.25">
      <c r="A1246" s="373">
        <v>153</v>
      </c>
      <c r="B1246" s="374">
        <f>NT!C358</f>
        <v>346</v>
      </c>
      <c r="C1246" s="374">
        <f>NT!D358</f>
        <v>0</v>
      </c>
      <c r="D1246" s="374">
        <v>0</v>
      </c>
      <c r="E1246" s="374"/>
      <c r="F1246" s="374"/>
      <c r="G1246" s="375">
        <f t="shared" si="42"/>
        <v>0</v>
      </c>
      <c r="H1246" s="375">
        <f t="shared" si="43"/>
        <v>0</v>
      </c>
      <c r="I1246" s="376">
        <v>0</v>
      </c>
    </row>
    <row r="1247" spans="1:9" x14ac:dyDescent="0.25">
      <c r="A1247" s="373">
        <v>153</v>
      </c>
      <c r="B1247" s="374">
        <f>NT!C359</f>
        <v>347</v>
      </c>
      <c r="C1247" s="374">
        <f>NT!D359</f>
        <v>0</v>
      </c>
      <c r="D1247" s="374">
        <v>0</v>
      </c>
      <c r="E1247" s="374"/>
      <c r="F1247" s="374"/>
      <c r="G1247" s="375">
        <f t="shared" si="42"/>
        <v>0</v>
      </c>
      <c r="H1247" s="375">
        <f t="shared" si="43"/>
        <v>0</v>
      </c>
      <c r="I1247" s="376">
        <v>0</v>
      </c>
    </row>
    <row r="1248" spans="1:9" x14ac:dyDescent="0.25">
      <c r="A1248" s="373">
        <v>153</v>
      </c>
      <c r="B1248" s="374">
        <f>NT!C360</f>
        <v>348</v>
      </c>
      <c r="C1248" s="374">
        <f>NT!D360</f>
        <v>0</v>
      </c>
      <c r="D1248" s="374">
        <v>0</v>
      </c>
      <c r="E1248" s="374"/>
      <c r="F1248" s="374"/>
      <c r="G1248" s="375">
        <f t="shared" si="42"/>
        <v>0</v>
      </c>
      <c r="H1248" s="375">
        <f t="shared" si="43"/>
        <v>0</v>
      </c>
      <c r="I1248" s="376">
        <v>0</v>
      </c>
    </row>
    <row r="1249" spans="1:9" x14ac:dyDescent="0.25">
      <c r="A1249" s="373">
        <v>153</v>
      </c>
      <c r="B1249" s="374">
        <f>NT!C361</f>
        <v>349</v>
      </c>
      <c r="C1249" s="374">
        <f>NT!D361</f>
        <v>0</v>
      </c>
      <c r="D1249" s="374">
        <v>0</v>
      </c>
      <c r="E1249" s="374"/>
      <c r="F1249" s="374"/>
      <c r="G1249" s="375">
        <f t="shared" si="42"/>
        <v>0</v>
      </c>
      <c r="H1249" s="375">
        <f t="shared" si="43"/>
        <v>0</v>
      </c>
      <c r="I1249" s="376">
        <v>0</v>
      </c>
    </row>
    <row r="1250" spans="1:9" x14ac:dyDescent="0.25">
      <c r="A1250" s="373">
        <v>153</v>
      </c>
      <c r="B1250" s="374">
        <f>NT!C362</f>
        <v>350</v>
      </c>
      <c r="C1250" s="374">
        <f>NT!D362</f>
        <v>0</v>
      </c>
      <c r="D1250" s="374">
        <v>0</v>
      </c>
      <c r="E1250" s="374"/>
      <c r="F1250" s="374"/>
      <c r="G1250" s="375">
        <f t="shared" si="42"/>
        <v>0</v>
      </c>
      <c r="H1250" s="375">
        <f t="shared" si="43"/>
        <v>0</v>
      </c>
      <c r="I1250" s="376">
        <v>0</v>
      </c>
    </row>
    <row r="1251" spans="1:9" x14ac:dyDescent="0.25">
      <c r="A1251" s="373">
        <v>153</v>
      </c>
      <c r="B1251" s="374">
        <f>NT!C363</f>
        <v>351</v>
      </c>
      <c r="C1251" s="374">
        <f>NT!D363</f>
        <v>0</v>
      </c>
      <c r="D1251" s="374">
        <v>0</v>
      </c>
      <c r="E1251" s="374"/>
      <c r="F1251" s="374"/>
      <c r="G1251" s="375">
        <f t="shared" si="42"/>
        <v>0</v>
      </c>
      <c r="H1251" s="375">
        <f t="shared" si="43"/>
        <v>0</v>
      </c>
      <c r="I1251" s="376">
        <v>0</v>
      </c>
    </row>
    <row r="1252" spans="1:9" x14ac:dyDescent="0.25">
      <c r="A1252" s="373">
        <v>153</v>
      </c>
      <c r="B1252" s="374">
        <f>NT!C364</f>
        <v>352</v>
      </c>
      <c r="C1252" s="374">
        <f>NT!D364</f>
        <v>0</v>
      </c>
      <c r="D1252" s="374">
        <v>0</v>
      </c>
      <c r="E1252" s="374"/>
      <c r="F1252" s="374"/>
      <c r="G1252" s="375">
        <f t="shared" si="42"/>
        <v>0</v>
      </c>
      <c r="H1252" s="375">
        <f t="shared" si="43"/>
        <v>0</v>
      </c>
      <c r="I1252" s="376">
        <v>0</v>
      </c>
    </row>
    <row r="1253" spans="1:9" x14ac:dyDescent="0.25">
      <c r="A1253" s="373">
        <v>153</v>
      </c>
      <c r="B1253" s="374">
        <f>NT!C365</f>
        <v>353</v>
      </c>
      <c r="C1253" s="374">
        <f>NT!D365</f>
        <v>0</v>
      </c>
      <c r="D1253" s="374">
        <v>0</v>
      </c>
      <c r="E1253" s="374"/>
      <c r="F1253" s="374"/>
      <c r="G1253" s="375">
        <f t="shared" si="42"/>
        <v>0</v>
      </c>
      <c r="H1253" s="375">
        <f t="shared" si="43"/>
        <v>0</v>
      </c>
      <c r="I1253" s="376">
        <v>0</v>
      </c>
    </row>
    <row r="1254" spans="1:9" x14ac:dyDescent="0.25">
      <c r="A1254" s="373">
        <v>153</v>
      </c>
      <c r="B1254" s="374">
        <f>NT!C366</f>
        <v>354</v>
      </c>
      <c r="C1254" s="374">
        <f>NT!D366</f>
        <v>0</v>
      </c>
      <c r="D1254" s="374">
        <v>0</v>
      </c>
      <c r="E1254" s="374"/>
      <c r="F1254" s="374"/>
      <c r="G1254" s="375">
        <f t="shared" si="42"/>
        <v>0</v>
      </c>
      <c r="H1254" s="375">
        <f t="shared" si="43"/>
        <v>0</v>
      </c>
      <c r="I1254" s="376">
        <v>0</v>
      </c>
    </row>
    <row r="1255" spans="1:9" x14ac:dyDescent="0.25">
      <c r="A1255" s="373">
        <v>153</v>
      </c>
      <c r="B1255" s="374">
        <f>NT!C367</f>
        <v>355</v>
      </c>
      <c r="C1255" s="374">
        <f>NT!D367</f>
        <v>0</v>
      </c>
      <c r="D1255" s="374">
        <v>0</v>
      </c>
      <c r="E1255" s="374"/>
      <c r="F1255" s="374"/>
      <c r="G1255" s="375">
        <f t="shared" si="42"/>
        <v>0</v>
      </c>
      <c r="H1255" s="375">
        <f t="shared" si="43"/>
        <v>0</v>
      </c>
      <c r="I1255" s="376">
        <v>0</v>
      </c>
    </row>
    <row r="1256" spans="1:9" x14ac:dyDescent="0.25">
      <c r="A1256" s="373">
        <v>153</v>
      </c>
      <c r="B1256" s="374">
        <f>NT!C368</f>
        <v>356</v>
      </c>
      <c r="C1256" s="374">
        <f>NT!D368</f>
        <v>0</v>
      </c>
      <c r="D1256" s="374">
        <v>0</v>
      </c>
      <c r="E1256" s="374"/>
      <c r="F1256" s="374"/>
      <c r="G1256" s="375">
        <f t="shared" si="42"/>
        <v>0</v>
      </c>
      <c r="H1256" s="375">
        <f t="shared" si="43"/>
        <v>0</v>
      </c>
      <c r="I1256" s="376">
        <v>0</v>
      </c>
    </row>
    <row r="1257" spans="1:9" x14ac:dyDescent="0.25">
      <c r="A1257" s="373">
        <v>153</v>
      </c>
      <c r="B1257" s="374">
        <f>NT!C369</f>
        <v>357</v>
      </c>
      <c r="C1257" s="374">
        <f>NT!D369</f>
        <v>0</v>
      </c>
      <c r="D1257" s="374">
        <v>0</v>
      </c>
      <c r="E1257" s="374"/>
      <c r="F1257" s="374"/>
      <c r="G1257" s="375">
        <f t="shared" si="42"/>
        <v>0</v>
      </c>
      <c r="H1257" s="375">
        <f t="shared" si="43"/>
        <v>0</v>
      </c>
      <c r="I1257" s="376">
        <v>0</v>
      </c>
    </row>
    <row r="1258" spans="1:9" x14ac:dyDescent="0.25">
      <c r="A1258" s="373">
        <v>153</v>
      </c>
      <c r="B1258" s="374">
        <f>NT!C370</f>
        <v>358</v>
      </c>
      <c r="C1258" s="374">
        <f>NT!D370</f>
        <v>0</v>
      </c>
      <c r="D1258" s="374">
        <v>0</v>
      </c>
      <c r="E1258" s="374"/>
      <c r="F1258" s="374"/>
      <c r="G1258" s="375">
        <f t="shared" si="42"/>
        <v>0</v>
      </c>
      <c r="H1258" s="375">
        <f t="shared" si="43"/>
        <v>0</v>
      </c>
      <c r="I1258" s="376">
        <v>0</v>
      </c>
    </row>
    <row r="1259" spans="1:9" x14ac:dyDescent="0.25">
      <c r="A1259" s="373">
        <v>153</v>
      </c>
      <c r="B1259" s="374">
        <f>NT!C371</f>
        <v>359</v>
      </c>
      <c r="C1259" s="374">
        <f>NT!D371</f>
        <v>0</v>
      </c>
      <c r="D1259" s="374">
        <v>0</v>
      </c>
      <c r="E1259" s="374"/>
      <c r="F1259" s="374"/>
      <c r="G1259" s="375">
        <f t="shared" si="42"/>
        <v>0</v>
      </c>
      <c r="H1259" s="375">
        <f t="shared" si="43"/>
        <v>0</v>
      </c>
      <c r="I1259" s="376">
        <v>0</v>
      </c>
    </row>
    <row r="1260" spans="1:9" x14ac:dyDescent="0.25">
      <c r="A1260" s="373">
        <v>153</v>
      </c>
      <c r="B1260" s="374">
        <f>NT!C372</f>
        <v>360</v>
      </c>
      <c r="C1260" s="374">
        <f>NT!D372</f>
        <v>0</v>
      </c>
      <c r="D1260" s="374">
        <v>0</v>
      </c>
      <c r="E1260" s="374"/>
      <c r="F1260" s="374"/>
      <c r="G1260" s="375">
        <f t="shared" si="42"/>
        <v>0</v>
      </c>
      <c r="H1260" s="375">
        <f t="shared" si="43"/>
        <v>0</v>
      </c>
      <c r="I1260" s="376">
        <v>0</v>
      </c>
    </row>
    <row r="1261" spans="1:9" x14ac:dyDescent="0.25">
      <c r="A1261" s="373">
        <v>153</v>
      </c>
      <c r="B1261" s="374">
        <f>NT!C373</f>
        <v>361</v>
      </c>
      <c r="C1261" s="374">
        <f>NT!D373</f>
        <v>0</v>
      </c>
      <c r="D1261" s="374">
        <v>0</v>
      </c>
      <c r="E1261" s="374"/>
      <c r="F1261" s="374"/>
      <c r="G1261" s="375">
        <f t="shared" si="42"/>
        <v>0</v>
      </c>
      <c r="H1261" s="375">
        <f t="shared" si="43"/>
        <v>0</v>
      </c>
      <c r="I1261" s="376">
        <v>0</v>
      </c>
    </row>
    <row r="1262" spans="1:9" x14ac:dyDescent="0.25">
      <c r="A1262" s="373">
        <v>153</v>
      </c>
      <c r="B1262" s="374">
        <f>NT!C374</f>
        <v>362</v>
      </c>
      <c r="C1262" s="374">
        <f>NT!D374</f>
        <v>0</v>
      </c>
      <c r="D1262" s="374">
        <v>0</v>
      </c>
      <c r="E1262" s="374"/>
      <c r="F1262" s="374"/>
      <c r="G1262" s="375">
        <f t="shared" si="42"/>
        <v>0</v>
      </c>
      <c r="H1262" s="375">
        <f t="shared" si="43"/>
        <v>0</v>
      </c>
      <c r="I1262" s="376">
        <v>0</v>
      </c>
    </row>
    <row r="1263" spans="1:9" x14ac:dyDescent="0.25">
      <c r="A1263" s="373">
        <v>153</v>
      </c>
      <c r="B1263" s="374">
        <f>NT!C375</f>
        <v>363</v>
      </c>
      <c r="C1263" s="374">
        <f>NT!D375</f>
        <v>0</v>
      </c>
      <c r="D1263" s="374">
        <v>0</v>
      </c>
      <c r="E1263" s="374"/>
      <c r="F1263" s="374"/>
      <c r="G1263" s="375">
        <f t="shared" si="42"/>
        <v>0</v>
      </c>
      <c r="H1263" s="375">
        <f t="shared" si="43"/>
        <v>0</v>
      </c>
      <c r="I1263" s="376">
        <v>0</v>
      </c>
    </row>
    <row r="1264" spans="1:9" x14ac:dyDescent="0.25">
      <c r="A1264" s="373">
        <v>153</v>
      </c>
      <c r="B1264" s="374">
        <f>NT!C376</f>
        <v>364</v>
      </c>
      <c r="C1264" s="374">
        <f>NT!D376</f>
        <v>0</v>
      </c>
      <c r="D1264" s="374">
        <v>0</v>
      </c>
      <c r="E1264" s="374"/>
      <c r="F1264" s="374"/>
      <c r="G1264" s="375">
        <f t="shared" si="42"/>
        <v>0</v>
      </c>
      <c r="H1264" s="375">
        <f t="shared" si="43"/>
        <v>0</v>
      </c>
      <c r="I1264" s="376">
        <v>0</v>
      </c>
    </row>
    <row r="1265" spans="1:9" x14ac:dyDescent="0.25">
      <c r="A1265" s="373">
        <v>153</v>
      </c>
      <c r="B1265" s="374">
        <f>NT!C377</f>
        <v>365</v>
      </c>
      <c r="C1265" s="374">
        <f>NT!D377</f>
        <v>0</v>
      </c>
      <c r="D1265" s="374">
        <v>0</v>
      </c>
      <c r="E1265" s="374"/>
      <c r="F1265" s="374"/>
      <c r="G1265" s="375">
        <f t="shared" si="42"/>
        <v>0</v>
      </c>
      <c r="H1265" s="375">
        <f t="shared" si="43"/>
        <v>0</v>
      </c>
      <c r="I1265" s="376">
        <v>0</v>
      </c>
    </row>
    <row r="1266" spans="1:9" x14ac:dyDescent="0.25">
      <c r="A1266" s="373">
        <v>153</v>
      </c>
      <c r="B1266" s="374">
        <f>NT!C378</f>
        <v>366</v>
      </c>
      <c r="C1266" s="374">
        <f>NT!D378</f>
        <v>0</v>
      </c>
      <c r="D1266" s="374">
        <v>0</v>
      </c>
      <c r="E1266" s="374"/>
      <c r="F1266" s="374"/>
      <c r="G1266" s="375">
        <f t="shared" si="42"/>
        <v>0</v>
      </c>
      <c r="H1266" s="375">
        <f t="shared" si="43"/>
        <v>0</v>
      </c>
      <c r="I1266" s="376">
        <v>0</v>
      </c>
    </row>
    <row r="1267" spans="1:9" x14ac:dyDescent="0.25">
      <c r="A1267" s="373">
        <v>153</v>
      </c>
      <c r="B1267" s="374">
        <f>NT!C379</f>
        <v>367</v>
      </c>
      <c r="C1267" s="374">
        <f>NT!D379</f>
        <v>0</v>
      </c>
      <c r="D1267" s="374">
        <v>0</v>
      </c>
      <c r="E1267" s="374"/>
      <c r="F1267" s="374"/>
      <c r="G1267" s="375">
        <f t="shared" si="42"/>
        <v>0</v>
      </c>
      <c r="H1267" s="375">
        <f t="shared" si="43"/>
        <v>0</v>
      </c>
      <c r="I1267" s="376">
        <v>0</v>
      </c>
    </row>
    <row r="1268" spans="1:9" x14ac:dyDescent="0.25">
      <c r="A1268" s="373">
        <v>153</v>
      </c>
      <c r="B1268" s="374">
        <f>NT!C380</f>
        <v>368</v>
      </c>
      <c r="C1268" s="374">
        <f>NT!D380</f>
        <v>0</v>
      </c>
      <c r="D1268" s="374">
        <v>0</v>
      </c>
      <c r="E1268" s="374"/>
      <c r="F1268" s="374"/>
      <c r="G1268" s="375">
        <f t="shared" si="42"/>
        <v>0</v>
      </c>
      <c r="H1268" s="375">
        <f t="shared" si="43"/>
        <v>0</v>
      </c>
      <c r="I1268" s="376">
        <v>0</v>
      </c>
    </row>
    <row r="1269" spans="1:9" x14ac:dyDescent="0.25">
      <c r="A1269" s="373">
        <v>153</v>
      </c>
      <c r="B1269" s="374">
        <f>NT!C381</f>
        <v>369</v>
      </c>
      <c r="C1269" s="374">
        <f>NT!D381</f>
        <v>0</v>
      </c>
      <c r="D1269" s="374">
        <v>0</v>
      </c>
      <c r="E1269" s="374"/>
      <c r="F1269" s="374"/>
      <c r="G1269" s="375">
        <f t="shared" si="42"/>
        <v>0</v>
      </c>
      <c r="H1269" s="375">
        <f t="shared" si="43"/>
        <v>0</v>
      </c>
      <c r="I1269" s="376">
        <v>0</v>
      </c>
    </row>
    <row r="1270" spans="1:9" x14ac:dyDescent="0.25">
      <c r="A1270" s="373">
        <v>153</v>
      </c>
      <c r="B1270" s="374">
        <f>NT!C382</f>
        <v>370</v>
      </c>
      <c r="C1270" s="374">
        <f>NT!D382</f>
        <v>0</v>
      </c>
      <c r="D1270" s="374">
        <v>0</v>
      </c>
      <c r="E1270" s="374"/>
      <c r="F1270" s="374"/>
      <c r="G1270" s="375">
        <f t="shared" si="42"/>
        <v>0</v>
      </c>
      <c r="H1270" s="375">
        <f t="shared" si="43"/>
        <v>0</v>
      </c>
      <c r="I1270" s="376">
        <v>0</v>
      </c>
    </row>
    <row r="1271" spans="1:9" x14ac:dyDescent="0.25">
      <c r="A1271" s="373">
        <v>153</v>
      </c>
      <c r="B1271" s="374">
        <f>NT!C383</f>
        <v>371</v>
      </c>
      <c r="C1271" s="374">
        <f>NT!D383</f>
        <v>0</v>
      </c>
      <c r="D1271" s="374">
        <v>0</v>
      </c>
      <c r="E1271" s="374"/>
      <c r="F1271" s="374"/>
      <c r="G1271" s="375">
        <f t="shared" si="42"/>
        <v>0</v>
      </c>
      <c r="H1271" s="375">
        <f t="shared" si="43"/>
        <v>0</v>
      </c>
      <c r="I1271" s="376">
        <v>0</v>
      </c>
    </row>
    <row r="1272" spans="1:9" x14ac:dyDescent="0.25">
      <c r="A1272" s="373">
        <v>153</v>
      </c>
      <c r="B1272" s="374">
        <f>NT!C384</f>
        <v>372</v>
      </c>
      <c r="C1272" s="374">
        <f>NT!D384</f>
        <v>0</v>
      </c>
      <c r="D1272" s="374">
        <v>0</v>
      </c>
      <c r="E1272" s="374"/>
      <c r="F1272" s="374"/>
      <c r="G1272" s="375">
        <f t="shared" si="42"/>
        <v>0</v>
      </c>
      <c r="H1272" s="375">
        <f t="shared" si="43"/>
        <v>0</v>
      </c>
      <c r="I1272" s="376">
        <v>0</v>
      </c>
    </row>
    <row r="1273" spans="1:9" x14ac:dyDescent="0.25">
      <c r="A1273" s="373">
        <v>153</v>
      </c>
      <c r="B1273" s="374">
        <f>NT!C385</f>
        <v>373</v>
      </c>
      <c r="C1273" s="374">
        <f>NT!D385</f>
        <v>0</v>
      </c>
      <c r="D1273" s="374">
        <v>0</v>
      </c>
      <c r="E1273" s="374"/>
      <c r="F1273" s="374"/>
      <c r="G1273" s="375">
        <f t="shared" si="42"/>
        <v>0</v>
      </c>
      <c r="H1273" s="375">
        <f t="shared" si="43"/>
        <v>0</v>
      </c>
      <c r="I1273" s="376">
        <v>0</v>
      </c>
    </row>
    <row r="1274" spans="1:9" x14ac:dyDescent="0.25">
      <c r="A1274" s="373">
        <v>153</v>
      </c>
      <c r="B1274" s="374">
        <f>NT!C386</f>
        <v>374</v>
      </c>
      <c r="C1274" s="374">
        <f>NT!D386</f>
        <v>0</v>
      </c>
      <c r="D1274" s="374">
        <v>0</v>
      </c>
      <c r="E1274" s="374"/>
      <c r="F1274" s="374"/>
      <c r="G1274" s="375">
        <f t="shared" si="42"/>
        <v>0</v>
      </c>
      <c r="H1274" s="375">
        <f t="shared" si="43"/>
        <v>0</v>
      </c>
      <c r="I1274" s="376">
        <v>0</v>
      </c>
    </row>
    <row r="1275" spans="1:9" x14ac:dyDescent="0.25">
      <c r="A1275" s="373">
        <v>153</v>
      </c>
      <c r="B1275" s="374">
        <f>NT!C387</f>
        <v>375</v>
      </c>
      <c r="C1275" s="374">
        <f>NT!D387</f>
        <v>0</v>
      </c>
      <c r="D1275" s="374">
        <v>0</v>
      </c>
      <c r="E1275" s="374"/>
      <c r="F1275" s="374"/>
      <c r="G1275" s="375">
        <f t="shared" si="42"/>
        <v>0</v>
      </c>
      <c r="H1275" s="375">
        <f t="shared" si="43"/>
        <v>0</v>
      </c>
      <c r="I1275" s="376">
        <v>0</v>
      </c>
    </row>
    <row r="1276" spans="1:9" x14ac:dyDescent="0.25">
      <c r="A1276" s="373">
        <v>153</v>
      </c>
      <c r="B1276" s="374">
        <f>NT!C388</f>
        <v>376</v>
      </c>
      <c r="C1276" s="374">
        <f>NT!D388</f>
        <v>0</v>
      </c>
      <c r="D1276" s="374">
        <v>0</v>
      </c>
      <c r="E1276" s="374"/>
      <c r="F1276" s="374"/>
      <c r="G1276" s="375">
        <f t="shared" si="42"/>
        <v>0</v>
      </c>
      <c r="H1276" s="375">
        <f t="shared" si="43"/>
        <v>0</v>
      </c>
      <c r="I1276" s="376">
        <v>0</v>
      </c>
    </row>
    <row r="1277" spans="1:9" x14ac:dyDescent="0.25">
      <c r="A1277" s="373">
        <v>153</v>
      </c>
      <c r="B1277" s="374">
        <f>NT!C389</f>
        <v>377</v>
      </c>
      <c r="C1277" s="374">
        <f>NT!D389</f>
        <v>0</v>
      </c>
      <c r="D1277" s="374">
        <v>0</v>
      </c>
      <c r="E1277" s="374"/>
      <c r="F1277" s="374"/>
      <c r="G1277" s="375">
        <f t="shared" si="42"/>
        <v>0</v>
      </c>
      <c r="H1277" s="375">
        <f t="shared" si="43"/>
        <v>0</v>
      </c>
      <c r="I1277" s="376">
        <v>0</v>
      </c>
    </row>
    <row r="1278" spans="1:9" x14ac:dyDescent="0.25">
      <c r="A1278" s="373">
        <v>153</v>
      </c>
      <c r="B1278" s="374">
        <f>NT!C390</f>
        <v>378</v>
      </c>
      <c r="C1278" s="374">
        <f>NT!D390</f>
        <v>0</v>
      </c>
      <c r="D1278" s="374">
        <v>0</v>
      </c>
      <c r="E1278" s="374"/>
      <c r="F1278" s="374"/>
      <c r="G1278" s="375">
        <f t="shared" si="42"/>
        <v>0</v>
      </c>
      <c r="H1278" s="375">
        <f t="shared" si="43"/>
        <v>0</v>
      </c>
      <c r="I1278" s="376">
        <v>0</v>
      </c>
    </row>
    <row r="1279" spans="1:9" x14ac:dyDescent="0.25">
      <c r="A1279" s="373">
        <v>153</v>
      </c>
      <c r="B1279" s="374">
        <f>NT!C391</f>
        <v>379</v>
      </c>
      <c r="C1279" s="374">
        <f>NT!D391</f>
        <v>0</v>
      </c>
      <c r="D1279" s="374">
        <v>0</v>
      </c>
      <c r="E1279" s="374"/>
      <c r="F1279" s="374"/>
      <c r="G1279" s="375">
        <f t="shared" si="42"/>
        <v>0</v>
      </c>
      <c r="H1279" s="375">
        <f t="shared" si="43"/>
        <v>0</v>
      </c>
      <c r="I1279" s="376">
        <v>0</v>
      </c>
    </row>
    <row r="1280" spans="1:9" x14ac:dyDescent="0.25">
      <c r="A1280" s="373">
        <v>153</v>
      </c>
      <c r="B1280" s="374">
        <f>NT!C392</f>
        <v>380</v>
      </c>
      <c r="C1280" s="374">
        <f>NT!D392</f>
        <v>0</v>
      </c>
      <c r="D1280" s="374">
        <v>0</v>
      </c>
      <c r="E1280" s="374"/>
      <c r="F1280" s="374"/>
      <c r="G1280" s="375">
        <f t="shared" si="42"/>
        <v>0</v>
      </c>
      <c r="H1280" s="375">
        <f t="shared" si="43"/>
        <v>0</v>
      </c>
      <c r="I1280" s="376">
        <v>0</v>
      </c>
    </row>
    <row r="1281" spans="1:9" x14ac:dyDescent="0.25">
      <c r="A1281" s="373">
        <v>153</v>
      </c>
      <c r="B1281" s="374">
        <f>NT!C393</f>
        <v>381</v>
      </c>
      <c r="C1281" s="374">
        <f>NT!D393</f>
        <v>0</v>
      </c>
      <c r="D1281" s="374">
        <v>0</v>
      </c>
      <c r="E1281" s="374"/>
      <c r="F1281" s="374"/>
      <c r="G1281" s="375">
        <f t="shared" si="42"/>
        <v>0</v>
      </c>
      <c r="H1281" s="375">
        <f t="shared" si="43"/>
        <v>0</v>
      </c>
      <c r="I1281" s="376">
        <v>0</v>
      </c>
    </row>
    <row r="1282" spans="1:9" x14ac:dyDescent="0.25">
      <c r="A1282" s="373">
        <v>153</v>
      </c>
      <c r="B1282" s="374">
        <f>NT!C394</f>
        <v>382</v>
      </c>
      <c r="C1282" s="374">
        <f>NT!D394</f>
        <v>0</v>
      </c>
      <c r="D1282" s="374">
        <v>0</v>
      </c>
      <c r="E1282" s="374"/>
      <c r="F1282" s="374"/>
      <c r="G1282" s="375">
        <f t="shared" si="42"/>
        <v>0</v>
      </c>
      <c r="H1282" s="375">
        <f t="shared" si="43"/>
        <v>0</v>
      </c>
      <c r="I1282" s="376">
        <v>0</v>
      </c>
    </row>
    <row r="1283" spans="1:9" x14ac:dyDescent="0.25">
      <c r="A1283" s="373">
        <v>153</v>
      </c>
      <c r="B1283" s="374">
        <f>NT!C395</f>
        <v>383</v>
      </c>
      <c r="C1283" s="374">
        <f>NT!D395</f>
        <v>0</v>
      </c>
      <c r="D1283" s="374">
        <v>0</v>
      </c>
      <c r="E1283" s="374"/>
      <c r="F1283" s="374"/>
      <c r="G1283" s="375">
        <f t="shared" si="42"/>
        <v>0</v>
      </c>
      <c r="H1283" s="375">
        <f t="shared" si="43"/>
        <v>0</v>
      </c>
      <c r="I1283" s="376">
        <v>0</v>
      </c>
    </row>
    <row r="1284" spans="1:9" x14ac:dyDescent="0.25">
      <c r="A1284" s="373">
        <v>153</v>
      </c>
      <c r="B1284" s="374">
        <f>NT!C396</f>
        <v>384</v>
      </c>
      <c r="C1284" s="374">
        <f>NT!D396</f>
        <v>0</v>
      </c>
      <c r="D1284" s="374">
        <v>0</v>
      </c>
      <c r="E1284" s="374"/>
      <c r="F1284" s="374"/>
      <c r="G1284" s="375">
        <f t="shared" si="42"/>
        <v>0</v>
      </c>
      <c r="H1284" s="375">
        <f t="shared" si="43"/>
        <v>0</v>
      </c>
      <c r="I1284" s="376">
        <v>0</v>
      </c>
    </row>
    <row r="1285" spans="1:9" x14ac:dyDescent="0.25">
      <c r="A1285" s="373">
        <v>153</v>
      </c>
      <c r="B1285" s="374">
        <f>NT!C397</f>
        <v>385</v>
      </c>
      <c r="C1285" s="374">
        <f>NT!D397</f>
        <v>0</v>
      </c>
      <c r="D1285" s="374">
        <v>0</v>
      </c>
      <c r="E1285" s="374"/>
      <c r="F1285" s="374"/>
      <c r="G1285" s="375">
        <f t="shared" si="42"/>
        <v>0</v>
      </c>
      <c r="H1285" s="375">
        <f t="shared" si="43"/>
        <v>0</v>
      </c>
      <c r="I1285" s="376">
        <v>0</v>
      </c>
    </row>
    <row r="1286" spans="1:9" x14ac:dyDescent="0.25">
      <c r="A1286" s="373">
        <v>153</v>
      </c>
      <c r="B1286" s="374">
        <f>NT!C398</f>
        <v>386</v>
      </c>
      <c r="C1286" s="374">
        <f>NT!D398</f>
        <v>0</v>
      </c>
      <c r="D1286" s="374">
        <v>0</v>
      </c>
      <c r="E1286" s="374"/>
      <c r="F1286" s="374"/>
      <c r="G1286" s="375">
        <f t="shared" si="42"/>
        <v>0</v>
      </c>
      <c r="H1286" s="375">
        <f t="shared" si="43"/>
        <v>0</v>
      </c>
      <c r="I1286" s="376">
        <v>0</v>
      </c>
    </row>
    <row r="1287" spans="1:9" x14ac:dyDescent="0.25">
      <c r="A1287" s="373">
        <v>153</v>
      </c>
      <c r="B1287" s="374">
        <f>NT!C399</f>
        <v>387</v>
      </c>
      <c r="C1287" s="374">
        <f>NT!D399</f>
        <v>0</v>
      </c>
      <c r="D1287" s="374">
        <v>0</v>
      </c>
      <c r="E1287" s="374"/>
      <c r="F1287" s="374"/>
      <c r="G1287" s="375">
        <f t="shared" si="42"/>
        <v>0</v>
      </c>
      <c r="H1287" s="375">
        <f t="shared" si="43"/>
        <v>0</v>
      </c>
      <c r="I1287" s="376">
        <v>0</v>
      </c>
    </row>
    <row r="1288" spans="1:9" x14ac:dyDescent="0.25">
      <c r="A1288" s="373">
        <v>153</v>
      </c>
      <c r="B1288" s="374">
        <f>NT!C400</f>
        <v>388</v>
      </c>
      <c r="C1288" s="374">
        <f>NT!D400</f>
        <v>0</v>
      </c>
      <c r="D1288" s="374">
        <v>0</v>
      </c>
      <c r="E1288" s="374"/>
      <c r="F1288" s="374"/>
      <c r="G1288" s="375">
        <f t="shared" si="42"/>
        <v>0</v>
      </c>
      <c r="H1288" s="375">
        <f t="shared" si="43"/>
        <v>0</v>
      </c>
      <c r="I1288" s="376">
        <v>0</v>
      </c>
    </row>
    <row r="1289" spans="1:9" x14ac:dyDescent="0.25">
      <c r="A1289" s="373">
        <v>153</v>
      </c>
      <c r="B1289" s="374">
        <f>NT!C401</f>
        <v>389</v>
      </c>
      <c r="C1289" s="374">
        <f>NT!D401</f>
        <v>0</v>
      </c>
      <c r="D1289" s="374">
        <v>0</v>
      </c>
      <c r="E1289" s="374"/>
      <c r="F1289" s="374"/>
      <c r="G1289" s="375">
        <f t="shared" si="42"/>
        <v>0</v>
      </c>
      <c r="H1289" s="375">
        <f t="shared" si="43"/>
        <v>0</v>
      </c>
      <c r="I1289" s="376">
        <v>0</v>
      </c>
    </row>
    <row r="1290" spans="1:9" x14ac:dyDescent="0.25">
      <c r="A1290" s="373">
        <v>153</v>
      </c>
      <c r="B1290" s="374">
        <f>NT!C402</f>
        <v>390</v>
      </c>
      <c r="C1290" s="374">
        <f>NT!D402</f>
        <v>0</v>
      </c>
      <c r="D1290" s="374">
        <v>0</v>
      </c>
      <c r="E1290" s="374"/>
      <c r="F1290" s="374"/>
      <c r="G1290" s="375">
        <f t="shared" si="42"/>
        <v>0</v>
      </c>
      <c r="H1290" s="375">
        <f t="shared" si="43"/>
        <v>0</v>
      </c>
      <c r="I1290" s="376">
        <v>0</v>
      </c>
    </row>
    <row r="1291" spans="1:9" x14ac:dyDescent="0.25">
      <c r="A1291" s="373">
        <v>153</v>
      </c>
      <c r="B1291" s="374">
        <f>NT!C403</f>
        <v>391</v>
      </c>
      <c r="C1291" s="374">
        <f>NT!D403</f>
        <v>0</v>
      </c>
      <c r="D1291" s="374">
        <v>0</v>
      </c>
      <c r="E1291" s="374"/>
      <c r="F1291" s="374"/>
      <c r="G1291" s="375">
        <f t="shared" si="42"/>
        <v>0</v>
      </c>
      <c r="H1291" s="375">
        <f t="shared" si="43"/>
        <v>0</v>
      </c>
      <c r="I1291" s="376">
        <v>0</v>
      </c>
    </row>
    <row r="1292" spans="1:9" x14ac:dyDescent="0.25">
      <c r="A1292" s="373">
        <v>153</v>
      </c>
      <c r="B1292" s="374">
        <f>NT!C404</f>
        <v>392</v>
      </c>
      <c r="C1292" s="374">
        <f>NT!D404</f>
        <v>0</v>
      </c>
      <c r="D1292" s="374">
        <v>0</v>
      </c>
      <c r="E1292" s="374"/>
      <c r="F1292" s="374"/>
      <c r="G1292" s="375">
        <f t="shared" si="42"/>
        <v>0</v>
      </c>
      <c r="H1292" s="375">
        <f t="shared" si="43"/>
        <v>0</v>
      </c>
      <c r="I1292" s="376">
        <v>0</v>
      </c>
    </row>
    <row r="1293" spans="1:9" x14ac:dyDescent="0.25">
      <c r="A1293" s="373">
        <v>153</v>
      </c>
      <c r="B1293" s="374">
        <f>NT!C405</f>
        <v>393</v>
      </c>
      <c r="C1293" s="374">
        <f>NT!D405</f>
        <v>0</v>
      </c>
      <c r="D1293" s="374">
        <v>0</v>
      </c>
      <c r="E1293" s="374"/>
      <c r="F1293" s="374"/>
      <c r="G1293" s="375">
        <f t="shared" si="42"/>
        <v>0</v>
      </c>
      <c r="H1293" s="375">
        <f t="shared" si="43"/>
        <v>0</v>
      </c>
      <c r="I1293" s="376">
        <v>0</v>
      </c>
    </row>
    <row r="1294" spans="1:9" x14ac:dyDescent="0.25">
      <c r="A1294" s="373">
        <v>153</v>
      </c>
      <c r="B1294" s="374">
        <f>NT!C406</f>
        <v>394</v>
      </c>
      <c r="C1294" s="374">
        <f>NT!D406</f>
        <v>0</v>
      </c>
      <c r="D1294" s="374">
        <v>0</v>
      </c>
      <c r="E1294" s="374"/>
      <c r="F1294" s="374"/>
      <c r="G1294" s="375">
        <f t="shared" si="42"/>
        <v>0</v>
      </c>
      <c r="H1294" s="375">
        <f t="shared" si="43"/>
        <v>0</v>
      </c>
      <c r="I1294" s="376">
        <v>0</v>
      </c>
    </row>
    <row r="1295" spans="1:9" x14ac:dyDescent="0.25">
      <c r="A1295" s="373">
        <v>153</v>
      </c>
      <c r="B1295" s="374">
        <f>NT!C407</f>
        <v>395</v>
      </c>
      <c r="C1295" s="374">
        <f>NT!D407</f>
        <v>0</v>
      </c>
      <c r="D1295" s="374">
        <v>0</v>
      </c>
      <c r="E1295" s="374"/>
      <c r="F1295" s="374"/>
      <c r="G1295" s="375">
        <f t="shared" si="42"/>
        <v>0</v>
      </c>
      <c r="H1295" s="375">
        <f t="shared" si="43"/>
        <v>0</v>
      </c>
      <c r="I1295" s="376">
        <v>0</v>
      </c>
    </row>
    <row r="1296" spans="1:9" x14ac:dyDescent="0.25">
      <c r="A1296" s="373">
        <v>153</v>
      </c>
      <c r="B1296" s="374">
        <f>NT!C408</f>
        <v>396</v>
      </c>
      <c r="C1296" s="374">
        <f>NT!D408</f>
        <v>0</v>
      </c>
      <c r="D1296" s="374">
        <v>0</v>
      </c>
      <c r="E1296" s="374"/>
      <c r="F1296" s="374"/>
      <c r="G1296" s="375">
        <f>B1296/1000*C1296</f>
        <v>0</v>
      </c>
      <c r="H1296" s="375">
        <f>ABS(C1296-ROUND(C1296,0))</f>
        <v>0</v>
      </c>
      <c r="I1296" s="376">
        <v>0</v>
      </c>
    </row>
    <row r="1297" spans="1:9" x14ac:dyDescent="0.25">
      <c r="A1297" s="373">
        <v>153</v>
      </c>
      <c r="B1297" s="374">
        <f>NT!C409</f>
        <v>397</v>
      </c>
      <c r="C1297" s="374">
        <f>NT!D409</f>
        <v>0</v>
      </c>
      <c r="D1297" s="374">
        <v>0</v>
      </c>
      <c r="E1297" s="374"/>
      <c r="F1297" s="374"/>
      <c r="G1297" s="375">
        <f>B1297/1000*C1297</f>
        <v>0</v>
      </c>
      <c r="H1297" s="375">
        <f>ABS(C1297-ROUND(C1297,0))</f>
        <v>0</v>
      </c>
      <c r="I1297" s="376">
        <v>0</v>
      </c>
    </row>
    <row r="1298" spans="1:9" x14ac:dyDescent="0.25">
      <c r="A1298" s="373">
        <v>153</v>
      </c>
      <c r="B1298" s="374">
        <f>NT!C410</f>
        <v>398</v>
      </c>
      <c r="C1298" s="374">
        <f>NT!D410</f>
        <v>0</v>
      </c>
      <c r="D1298" s="374">
        <v>0</v>
      </c>
      <c r="E1298" s="374"/>
      <c r="F1298" s="374"/>
      <c r="G1298" s="375">
        <f>B1298/1000*C1298</f>
        <v>0</v>
      </c>
      <c r="H1298" s="375">
        <f>ABS(C1298-ROUND(C1298,0))</f>
        <v>0</v>
      </c>
      <c r="I1298" s="376">
        <v>0</v>
      </c>
    </row>
    <row r="1299" spans="1:9" x14ac:dyDescent="0.25">
      <c r="A1299" s="387">
        <v>153</v>
      </c>
      <c r="B1299" s="388">
        <f>NT!C411</f>
        <v>399</v>
      </c>
      <c r="C1299" s="388">
        <f>NT!D411</f>
        <v>0</v>
      </c>
      <c r="D1299" s="388">
        <v>0</v>
      </c>
      <c r="E1299" s="388"/>
      <c r="F1299" s="388"/>
      <c r="G1299" s="389">
        <f>B1299/1000*C1299</f>
        <v>0</v>
      </c>
      <c r="H1299" s="389">
        <f>ABS(C1299-ROUND(C1299,0))</f>
        <v>0</v>
      </c>
      <c r="I1299" s="390">
        <v>0</v>
      </c>
    </row>
    <row r="1300" spans="1:9" x14ac:dyDescent="0.25">
      <c r="A1300" s="383">
        <v>154</v>
      </c>
      <c r="B1300" s="384">
        <f>RasF!C12</f>
        <v>1</v>
      </c>
      <c r="C1300" s="384">
        <f>RasF!D12</f>
        <v>1261341</v>
      </c>
      <c r="D1300" s="384">
        <f>RasF!E12</f>
        <v>869402</v>
      </c>
      <c r="E1300" s="384"/>
      <c r="F1300" s="384"/>
      <c r="G1300" s="385">
        <f>B1300/1000*C1300+B1300/500*D1300</f>
        <v>3000.1450000000004</v>
      </c>
      <c r="H1300" s="385">
        <f>ABS(C1300-ROUND(C1300,0))+ABS(D1300-ROUND(D1300,0))</f>
        <v>0</v>
      </c>
      <c r="I1300" s="386"/>
    </row>
    <row r="1301" spans="1:9" x14ac:dyDescent="0.25">
      <c r="A1301" s="373">
        <v>154</v>
      </c>
      <c r="B1301" s="374">
        <f>RasF!C13</f>
        <v>2</v>
      </c>
      <c r="C1301" s="374">
        <f>RasF!D13</f>
        <v>602669</v>
      </c>
      <c r="D1301" s="374">
        <f>RasF!E13</f>
        <v>311387</v>
      </c>
      <c r="E1301" s="374"/>
      <c r="F1301" s="374"/>
      <c r="G1301" s="375">
        <f>B1301/1000*C1301+B1301/500*D1301</f>
        <v>2450.886</v>
      </c>
      <c r="H1301" s="375">
        <f>ABS(C1301-ROUND(C1301,0))+ABS(D1301-ROUND(D1301,0))</f>
        <v>0</v>
      </c>
      <c r="I1301" s="376"/>
    </row>
    <row r="1302" spans="1:9" x14ac:dyDescent="0.25">
      <c r="A1302" s="373">
        <v>154</v>
      </c>
      <c r="B1302" s="374">
        <f>RasF!C14</f>
        <v>3</v>
      </c>
      <c r="C1302" s="374">
        <f>RasF!D14</f>
        <v>602669</v>
      </c>
      <c r="D1302" s="374">
        <f>RasF!E14</f>
        <v>311387</v>
      </c>
      <c r="E1302" s="374"/>
      <c r="F1302" s="374"/>
      <c r="G1302" s="375">
        <f t="shared" ref="G1302:G1365" si="44">B1302/1000*C1302+B1302/500*D1302</f>
        <v>3676.3290000000002</v>
      </c>
      <c r="H1302" s="375">
        <f t="shared" ref="H1302:H1365" si="45">ABS(C1302-ROUND(C1302,0))+ABS(D1302-ROUND(D1302,0))</f>
        <v>0</v>
      </c>
      <c r="I1302" s="376"/>
    </row>
    <row r="1303" spans="1:9" x14ac:dyDescent="0.25">
      <c r="A1303" s="373">
        <v>154</v>
      </c>
      <c r="B1303" s="374">
        <f>RasF!C15</f>
        <v>4</v>
      </c>
      <c r="C1303" s="374">
        <f>RasF!D15</f>
        <v>0</v>
      </c>
      <c r="D1303" s="374">
        <f>RasF!E15</f>
        <v>0</v>
      </c>
      <c r="E1303" s="374"/>
      <c r="F1303" s="374"/>
      <c r="G1303" s="375">
        <f t="shared" si="44"/>
        <v>0</v>
      </c>
      <c r="H1303" s="375">
        <f t="shared" si="45"/>
        <v>0</v>
      </c>
      <c r="I1303" s="376"/>
    </row>
    <row r="1304" spans="1:9" x14ac:dyDescent="0.25">
      <c r="A1304" s="373">
        <v>154</v>
      </c>
      <c r="B1304" s="374">
        <f>RasF!C16</f>
        <v>5</v>
      </c>
      <c r="C1304" s="374">
        <f>RasF!D16</f>
        <v>0</v>
      </c>
      <c r="D1304" s="374">
        <f>RasF!E16</f>
        <v>0</v>
      </c>
      <c r="E1304" s="374"/>
      <c r="F1304" s="374"/>
      <c r="G1304" s="375">
        <f t="shared" si="44"/>
        <v>0</v>
      </c>
      <c r="H1304" s="375">
        <f t="shared" si="45"/>
        <v>0</v>
      </c>
      <c r="I1304" s="376"/>
    </row>
    <row r="1305" spans="1:9" x14ac:dyDescent="0.25">
      <c r="A1305" s="373">
        <v>154</v>
      </c>
      <c r="B1305" s="374">
        <f>RasF!C17</f>
        <v>6</v>
      </c>
      <c r="C1305" s="374">
        <f>RasF!D17</f>
        <v>0</v>
      </c>
      <c r="D1305" s="374">
        <f>RasF!E17</f>
        <v>0</v>
      </c>
      <c r="E1305" s="374"/>
      <c r="F1305" s="374"/>
      <c r="G1305" s="375">
        <f t="shared" si="44"/>
        <v>0</v>
      </c>
      <c r="H1305" s="375">
        <f t="shared" si="45"/>
        <v>0</v>
      </c>
      <c r="I1305" s="376"/>
    </row>
    <row r="1306" spans="1:9" x14ac:dyDescent="0.25">
      <c r="A1306" s="373">
        <v>154</v>
      </c>
      <c r="B1306" s="374">
        <f>RasF!C18</f>
        <v>7</v>
      </c>
      <c r="C1306" s="374">
        <f>RasF!D18</f>
        <v>0</v>
      </c>
      <c r="D1306" s="374">
        <f>RasF!E18</f>
        <v>0</v>
      </c>
      <c r="E1306" s="374"/>
      <c r="F1306" s="374"/>
      <c r="G1306" s="375">
        <f t="shared" si="44"/>
        <v>0</v>
      </c>
      <c r="H1306" s="375">
        <f t="shared" si="45"/>
        <v>0</v>
      </c>
      <c r="I1306" s="376"/>
    </row>
    <row r="1307" spans="1:9" x14ac:dyDescent="0.25">
      <c r="A1307" s="373">
        <v>154</v>
      </c>
      <c r="B1307" s="374">
        <f>RasF!C19</f>
        <v>8</v>
      </c>
      <c r="C1307" s="374">
        <f>RasF!D19</f>
        <v>0</v>
      </c>
      <c r="D1307" s="374">
        <f>RasF!E19</f>
        <v>0</v>
      </c>
      <c r="E1307" s="374"/>
      <c r="F1307" s="374"/>
      <c r="G1307" s="375">
        <f t="shared" si="44"/>
        <v>0</v>
      </c>
      <c r="H1307" s="375">
        <f t="shared" si="45"/>
        <v>0</v>
      </c>
      <c r="I1307" s="376"/>
    </row>
    <row r="1308" spans="1:9" x14ac:dyDescent="0.25">
      <c r="A1308" s="373">
        <v>154</v>
      </c>
      <c r="B1308" s="374">
        <f>RasF!C20</f>
        <v>9</v>
      </c>
      <c r="C1308" s="374">
        <f>RasF!D20</f>
        <v>639137</v>
      </c>
      <c r="D1308" s="374">
        <f>RasF!E20</f>
        <v>550397</v>
      </c>
      <c r="E1308" s="374"/>
      <c r="F1308" s="374"/>
      <c r="G1308" s="375">
        <f t="shared" si="44"/>
        <v>15659.378999999997</v>
      </c>
      <c r="H1308" s="375">
        <f t="shared" si="45"/>
        <v>0</v>
      </c>
      <c r="I1308" s="376"/>
    </row>
    <row r="1309" spans="1:9" x14ac:dyDescent="0.25">
      <c r="A1309" s="373">
        <v>154</v>
      </c>
      <c r="B1309" s="374">
        <f>RasF!C21</f>
        <v>10</v>
      </c>
      <c r="C1309" s="374">
        <f>RasF!D21</f>
        <v>502214</v>
      </c>
      <c r="D1309" s="374">
        <f>RasF!E21</f>
        <v>499103</v>
      </c>
      <c r="E1309" s="374"/>
      <c r="F1309" s="374"/>
      <c r="G1309" s="375">
        <f t="shared" si="44"/>
        <v>15004.2</v>
      </c>
      <c r="H1309" s="375">
        <f t="shared" si="45"/>
        <v>0</v>
      </c>
      <c r="I1309" s="376"/>
    </row>
    <row r="1310" spans="1:9" x14ac:dyDescent="0.25">
      <c r="A1310" s="373">
        <v>154</v>
      </c>
      <c r="B1310" s="374">
        <f>RasF!C22</f>
        <v>11</v>
      </c>
      <c r="C1310" s="374">
        <f>RasF!D22</f>
        <v>0</v>
      </c>
      <c r="D1310" s="374">
        <f>RasF!E22</f>
        <v>0</v>
      </c>
      <c r="E1310" s="374"/>
      <c r="F1310" s="374"/>
      <c r="G1310" s="375">
        <f t="shared" si="44"/>
        <v>0</v>
      </c>
      <c r="H1310" s="375">
        <f t="shared" si="45"/>
        <v>0</v>
      </c>
      <c r="I1310" s="376"/>
    </row>
    <row r="1311" spans="1:9" x14ac:dyDescent="0.25">
      <c r="A1311" s="373">
        <v>154</v>
      </c>
      <c r="B1311" s="374">
        <f>RasF!C23</f>
        <v>12</v>
      </c>
      <c r="C1311" s="374">
        <f>RasF!D23</f>
        <v>136923</v>
      </c>
      <c r="D1311" s="374">
        <f>RasF!E23</f>
        <v>51294</v>
      </c>
      <c r="E1311" s="374"/>
      <c r="F1311" s="374"/>
      <c r="G1311" s="375">
        <f t="shared" si="44"/>
        <v>2874.1320000000001</v>
      </c>
      <c r="H1311" s="375">
        <f t="shared" si="45"/>
        <v>0</v>
      </c>
      <c r="I1311" s="376"/>
    </row>
    <row r="1312" spans="1:9" x14ac:dyDescent="0.25">
      <c r="A1312" s="373">
        <v>154</v>
      </c>
      <c r="B1312" s="374">
        <f>RasF!C24</f>
        <v>13</v>
      </c>
      <c r="C1312" s="374">
        <f>RasF!D24</f>
        <v>0</v>
      </c>
      <c r="D1312" s="374">
        <f>RasF!E24</f>
        <v>0</v>
      </c>
      <c r="E1312" s="374"/>
      <c r="F1312" s="374"/>
      <c r="G1312" s="375">
        <f t="shared" si="44"/>
        <v>0</v>
      </c>
      <c r="H1312" s="375">
        <f t="shared" si="45"/>
        <v>0</v>
      </c>
      <c r="I1312" s="376"/>
    </row>
    <row r="1313" spans="1:9" x14ac:dyDescent="0.25">
      <c r="A1313" s="373">
        <v>154</v>
      </c>
      <c r="B1313" s="374">
        <f>RasF!C25</f>
        <v>14</v>
      </c>
      <c r="C1313" s="374">
        <f>RasF!D25</f>
        <v>0</v>
      </c>
      <c r="D1313" s="374">
        <f>RasF!E25</f>
        <v>0</v>
      </c>
      <c r="E1313" s="374"/>
      <c r="F1313" s="374"/>
      <c r="G1313" s="375">
        <f t="shared" si="44"/>
        <v>0</v>
      </c>
      <c r="H1313" s="375">
        <f t="shared" si="45"/>
        <v>0</v>
      </c>
      <c r="I1313" s="376"/>
    </row>
    <row r="1314" spans="1:9" x14ac:dyDescent="0.25">
      <c r="A1314" s="373">
        <v>154</v>
      </c>
      <c r="B1314" s="374">
        <f>RasF!C26</f>
        <v>15</v>
      </c>
      <c r="C1314" s="374">
        <f>RasF!D26</f>
        <v>19535</v>
      </c>
      <c r="D1314" s="374">
        <f>RasF!E26</f>
        <v>7618</v>
      </c>
      <c r="E1314" s="374"/>
      <c r="F1314" s="374"/>
      <c r="G1314" s="375">
        <f t="shared" si="44"/>
        <v>521.56499999999994</v>
      </c>
      <c r="H1314" s="375">
        <f t="shared" si="45"/>
        <v>0</v>
      </c>
      <c r="I1314" s="376"/>
    </row>
    <row r="1315" spans="1:9" x14ac:dyDescent="0.25">
      <c r="A1315" s="373">
        <v>154</v>
      </c>
      <c r="B1315" s="374">
        <f>RasF!C27</f>
        <v>16</v>
      </c>
      <c r="C1315" s="374">
        <f>RasF!D27</f>
        <v>0</v>
      </c>
      <c r="D1315" s="374">
        <f>RasF!E27</f>
        <v>0</v>
      </c>
      <c r="E1315" s="374"/>
      <c r="F1315" s="374"/>
      <c r="G1315" s="375">
        <f t="shared" si="44"/>
        <v>0</v>
      </c>
      <c r="H1315" s="375">
        <f t="shared" si="45"/>
        <v>0</v>
      </c>
      <c r="I1315" s="376"/>
    </row>
    <row r="1316" spans="1:9" x14ac:dyDescent="0.25">
      <c r="A1316" s="373">
        <v>154</v>
      </c>
      <c r="B1316" s="374">
        <f>RasF!C28</f>
        <v>17</v>
      </c>
      <c r="C1316" s="374">
        <f>RasF!D28</f>
        <v>0</v>
      </c>
      <c r="D1316" s="374">
        <f>RasF!E28</f>
        <v>0</v>
      </c>
      <c r="E1316" s="374"/>
      <c r="F1316" s="374"/>
      <c r="G1316" s="375">
        <f t="shared" si="44"/>
        <v>0</v>
      </c>
      <c r="H1316" s="375">
        <f t="shared" si="45"/>
        <v>0</v>
      </c>
      <c r="I1316" s="376"/>
    </row>
    <row r="1317" spans="1:9" x14ac:dyDescent="0.25">
      <c r="A1317" s="373">
        <v>154</v>
      </c>
      <c r="B1317" s="374">
        <f>RasF!C29</f>
        <v>18</v>
      </c>
      <c r="C1317" s="374">
        <f>RasF!D29</f>
        <v>0</v>
      </c>
      <c r="D1317" s="374">
        <f>RasF!E29</f>
        <v>1323</v>
      </c>
      <c r="E1317" s="374"/>
      <c r="F1317" s="374"/>
      <c r="G1317" s="375">
        <f t="shared" si="44"/>
        <v>47.627999999999993</v>
      </c>
      <c r="H1317" s="375">
        <f t="shared" si="45"/>
        <v>0</v>
      </c>
      <c r="I1317" s="376"/>
    </row>
    <row r="1318" spans="1:9" x14ac:dyDescent="0.25">
      <c r="A1318" s="373">
        <v>154</v>
      </c>
      <c r="B1318" s="374">
        <f>RasF!C30</f>
        <v>19</v>
      </c>
      <c r="C1318" s="374">
        <f>RasF!D30</f>
        <v>0</v>
      </c>
      <c r="D1318" s="374">
        <f>RasF!E30</f>
        <v>0</v>
      </c>
      <c r="E1318" s="374"/>
      <c r="F1318" s="374"/>
      <c r="G1318" s="375">
        <f t="shared" si="44"/>
        <v>0</v>
      </c>
      <c r="H1318" s="375">
        <f t="shared" si="45"/>
        <v>0</v>
      </c>
      <c r="I1318" s="376"/>
    </row>
    <row r="1319" spans="1:9" x14ac:dyDescent="0.25">
      <c r="A1319" s="373">
        <v>154</v>
      </c>
      <c r="B1319" s="374">
        <f>RasF!C31</f>
        <v>20</v>
      </c>
      <c r="C1319" s="374">
        <f>RasF!D31</f>
        <v>0</v>
      </c>
      <c r="D1319" s="374">
        <f>RasF!E31</f>
        <v>1323</v>
      </c>
      <c r="E1319" s="374"/>
      <c r="F1319" s="374"/>
      <c r="G1319" s="375">
        <f t="shared" si="44"/>
        <v>52.92</v>
      </c>
      <c r="H1319" s="375">
        <f t="shared" si="45"/>
        <v>0</v>
      </c>
      <c r="I1319" s="376"/>
    </row>
    <row r="1320" spans="1:9" x14ac:dyDescent="0.25">
      <c r="A1320" s="373">
        <v>154</v>
      </c>
      <c r="B1320" s="374">
        <f>RasF!C32</f>
        <v>21</v>
      </c>
      <c r="C1320" s="374">
        <f>RasF!D32</f>
        <v>0</v>
      </c>
      <c r="D1320" s="374">
        <f>RasF!E32</f>
        <v>0</v>
      </c>
      <c r="E1320" s="374"/>
      <c r="F1320" s="374"/>
      <c r="G1320" s="375">
        <f t="shared" si="44"/>
        <v>0</v>
      </c>
      <c r="H1320" s="375">
        <f t="shared" si="45"/>
        <v>0</v>
      </c>
      <c r="I1320" s="376"/>
    </row>
    <row r="1321" spans="1:9" x14ac:dyDescent="0.25">
      <c r="A1321" s="373">
        <v>154</v>
      </c>
      <c r="B1321" s="374">
        <f>RasF!C33</f>
        <v>22</v>
      </c>
      <c r="C1321" s="374">
        <f>RasF!D33</f>
        <v>0</v>
      </c>
      <c r="D1321" s="374">
        <f>RasF!E33</f>
        <v>0</v>
      </c>
      <c r="E1321" s="374"/>
      <c r="F1321" s="374"/>
      <c r="G1321" s="375">
        <f t="shared" si="44"/>
        <v>0</v>
      </c>
      <c r="H1321" s="375">
        <f t="shared" si="45"/>
        <v>0</v>
      </c>
      <c r="I1321" s="376"/>
    </row>
    <row r="1322" spans="1:9" x14ac:dyDescent="0.25">
      <c r="A1322" s="373">
        <v>154</v>
      </c>
      <c r="B1322" s="374">
        <f>RasF!C34</f>
        <v>23</v>
      </c>
      <c r="C1322" s="374">
        <f>RasF!D34</f>
        <v>0</v>
      </c>
      <c r="D1322" s="374">
        <f>RasF!E34</f>
        <v>0</v>
      </c>
      <c r="E1322" s="374"/>
      <c r="F1322" s="374"/>
      <c r="G1322" s="375">
        <f t="shared" si="44"/>
        <v>0</v>
      </c>
      <c r="H1322" s="375">
        <f t="shared" si="45"/>
        <v>0</v>
      </c>
      <c r="I1322" s="376"/>
    </row>
    <row r="1323" spans="1:9" x14ac:dyDescent="0.25">
      <c r="A1323" s="373">
        <v>154</v>
      </c>
      <c r="B1323" s="374">
        <f>RasF!C35</f>
        <v>24</v>
      </c>
      <c r="C1323" s="374">
        <f>RasF!D35</f>
        <v>85000</v>
      </c>
      <c r="D1323" s="374">
        <f>RasF!E35</f>
        <v>85000</v>
      </c>
      <c r="E1323" s="374"/>
      <c r="F1323" s="374"/>
      <c r="G1323" s="375">
        <f t="shared" si="44"/>
        <v>6120</v>
      </c>
      <c r="H1323" s="375">
        <f t="shared" si="45"/>
        <v>0</v>
      </c>
      <c r="I1323" s="376"/>
    </row>
    <row r="1324" spans="1:9" x14ac:dyDescent="0.25">
      <c r="A1324" s="373">
        <v>154</v>
      </c>
      <c r="B1324" s="374">
        <f>RasF!C36</f>
        <v>25</v>
      </c>
      <c r="C1324" s="374">
        <f>RasF!D36</f>
        <v>0</v>
      </c>
      <c r="D1324" s="374">
        <f>RasF!E36</f>
        <v>0</v>
      </c>
      <c r="E1324" s="374"/>
      <c r="F1324" s="374"/>
      <c r="G1324" s="375">
        <f t="shared" si="44"/>
        <v>0</v>
      </c>
      <c r="H1324" s="375">
        <f t="shared" si="45"/>
        <v>0</v>
      </c>
      <c r="I1324" s="376"/>
    </row>
    <row r="1325" spans="1:9" x14ac:dyDescent="0.25">
      <c r="A1325" s="373">
        <v>154</v>
      </c>
      <c r="B1325" s="374">
        <f>RasF!C37</f>
        <v>26</v>
      </c>
      <c r="C1325" s="374">
        <f>RasF!D37</f>
        <v>85000</v>
      </c>
      <c r="D1325" s="374">
        <f>RasF!E37</f>
        <v>85000</v>
      </c>
      <c r="E1325" s="374"/>
      <c r="F1325" s="374"/>
      <c r="G1325" s="375">
        <f t="shared" si="44"/>
        <v>6630</v>
      </c>
      <c r="H1325" s="375">
        <f t="shared" si="45"/>
        <v>0</v>
      </c>
      <c r="I1325" s="376"/>
    </row>
    <row r="1326" spans="1:9" x14ac:dyDescent="0.25">
      <c r="A1326" s="373">
        <v>154</v>
      </c>
      <c r="B1326" s="374">
        <f>RasF!C38</f>
        <v>27</v>
      </c>
      <c r="C1326" s="374">
        <f>RasF!D38</f>
        <v>0</v>
      </c>
      <c r="D1326" s="374">
        <f>RasF!E38</f>
        <v>0</v>
      </c>
      <c r="E1326" s="374"/>
      <c r="F1326" s="374"/>
      <c r="G1326" s="375">
        <f t="shared" si="44"/>
        <v>0</v>
      </c>
      <c r="H1326" s="375">
        <f t="shared" si="45"/>
        <v>0</v>
      </c>
      <c r="I1326" s="376"/>
    </row>
    <row r="1327" spans="1:9" x14ac:dyDescent="0.25">
      <c r="A1327" s="373">
        <v>154</v>
      </c>
      <c r="B1327" s="374">
        <f>RasF!C39</f>
        <v>28</v>
      </c>
      <c r="C1327" s="374">
        <f>RasF!D39</f>
        <v>0</v>
      </c>
      <c r="D1327" s="374">
        <f>RasF!E39</f>
        <v>0</v>
      </c>
      <c r="E1327" s="374"/>
      <c r="F1327" s="374"/>
      <c r="G1327" s="375">
        <f t="shared" si="44"/>
        <v>0</v>
      </c>
      <c r="H1327" s="375">
        <f t="shared" si="45"/>
        <v>0</v>
      </c>
      <c r="I1327" s="376"/>
    </row>
    <row r="1328" spans="1:9" x14ac:dyDescent="0.25">
      <c r="A1328" s="373">
        <v>154</v>
      </c>
      <c r="B1328" s="374">
        <f>RasF!C40</f>
        <v>29</v>
      </c>
      <c r="C1328" s="374">
        <f>RasF!D40</f>
        <v>0</v>
      </c>
      <c r="D1328" s="374">
        <f>RasF!E40</f>
        <v>0</v>
      </c>
      <c r="E1328" s="374"/>
      <c r="F1328" s="374"/>
      <c r="G1328" s="375">
        <f t="shared" si="44"/>
        <v>0</v>
      </c>
      <c r="H1328" s="375">
        <f t="shared" si="45"/>
        <v>0</v>
      </c>
      <c r="I1328" s="376"/>
    </row>
    <row r="1329" spans="1:9" x14ac:dyDescent="0.25">
      <c r="A1329" s="373">
        <v>154</v>
      </c>
      <c r="B1329" s="374">
        <f>RasF!C41</f>
        <v>30</v>
      </c>
      <c r="C1329" s="374">
        <f>RasF!D41</f>
        <v>0</v>
      </c>
      <c r="D1329" s="374">
        <f>RasF!E41</f>
        <v>0</v>
      </c>
      <c r="E1329" s="374"/>
      <c r="F1329" s="374"/>
      <c r="G1329" s="375">
        <f t="shared" si="44"/>
        <v>0</v>
      </c>
      <c r="H1329" s="375">
        <f t="shared" si="45"/>
        <v>0</v>
      </c>
      <c r="I1329" s="376"/>
    </row>
    <row r="1330" spans="1:9" x14ac:dyDescent="0.25">
      <c r="A1330" s="373">
        <v>154</v>
      </c>
      <c r="B1330" s="374">
        <f>RasF!C42</f>
        <v>31</v>
      </c>
      <c r="C1330" s="374">
        <f>RasF!D42</f>
        <v>412698</v>
      </c>
      <c r="D1330" s="374">
        <f>RasF!E42</f>
        <v>737571</v>
      </c>
      <c r="E1330" s="374"/>
      <c r="F1330" s="374"/>
      <c r="G1330" s="375">
        <f t="shared" si="44"/>
        <v>58523.040000000001</v>
      </c>
      <c r="H1330" s="375">
        <f t="shared" si="45"/>
        <v>0</v>
      </c>
      <c r="I1330" s="376"/>
    </row>
    <row r="1331" spans="1:9" x14ac:dyDescent="0.25">
      <c r="A1331" s="373">
        <v>154</v>
      </c>
      <c r="B1331" s="374">
        <f>RasF!C43</f>
        <v>32</v>
      </c>
      <c r="C1331" s="374">
        <f>RasF!D43</f>
        <v>0</v>
      </c>
      <c r="D1331" s="374">
        <f>RasF!E43</f>
        <v>0</v>
      </c>
      <c r="E1331" s="374"/>
      <c r="F1331" s="374"/>
      <c r="G1331" s="375">
        <f t="shared" si="44"/>
        <v>0</v>
      </c>
      <c r="H1331" s="375">
        <f t="shared" si="45"/>
        <v>0</v>
      </c>
      <c r="I1331" s="376"/>
    </row>
    <row r="1332" spans="1:9" x14ac:dyDescent="0.25">
      <c r="A1332" s="373">
        <v>154</v>
      </c>
      <c r="B1332" s="374">
        <f>RasF!C44</f>
        <v>33</v>
      </c>
      <c r="C1332" s="374">
        <f>RasF!D44</f>
        <v>0</v>
      </c>
      <c r="D1332" s="374">
        <f>RasF!E44</f>
        <v>0</v>
      </c>
      <c r="E1332" s="374"/>
      <c r="F1332" s="374"/>
      <c r="G1332" s="375">
        <f t="shared" si="44"/>
        <v>0</v>
      </c>
      <c r="H1332" s="375">
        <f t="shared" si="45"/>
        <v>0</v>
      </c>
      <c r="I1332" s="376"/>
    </row>
    <row r="1333" spans="1:9" x14ac:dyDescent="0.25">
      <c r="A1333" s="373">
        <v>154</v>
      </c>
      <c r="B1333" s="374">
        <f>RasF!C45</f>
        <v>34</v>
      </c>
      <c r="C1333" s="374">
        <f>RasF!D45</f>
        <v>0</v>
      </c>
      <c r="D1333" s="374">
        <f>RasF!E45</f>
        <v>0</v>
      </c>
      <c r="E1333" s="374"/>
      <c r="F1333" s="374"/>
      <c r="G1333" s="375">
        <f t="shared" si="44"/>
        <v>0</v>
      </c>
      <c r="H1333" s="375">
        <f t="shared" si="45"/>
        <v>0</v>
      </c>
      <c r="I1333" s="376"/>
    </row>
    <row r="1334" spans="1:9" x14ac:dyDescent="0.25">
      <c r="A1334" s="373">
        <v>154</v>
      </c>
      <c r="B1334" s="374">
        <f>RasF!C46</f>
        <v>35</v>
      </c>
      <c r="C1334" s="374">
        <f>RasF!D46</f>
        <v>212638</v>
      </c>
      <c r="D1334" s="374">
        <f>RasF!E46</f>
        <v>199622</v>
      </c>
      <c r="E1334" s="374"/>
      <c r="F1334" s="374"/>
      <c r="G1334" s="375">
        <f t="shared" si="44"/>
        <v>21415.870000000003</v>
      </c>
      <c r="H1334" s="375">
        <f t="shared" si="45"/>
        <v>0</v>
      </c>
      <c r="I1334" s="376"/>
    </row>
    <row r="1335" spans="1:9" x14ac:dyDescent="0.25">
      <c r="A1335" s="373">
        <v>154</v>
      </c>
      <c r="B1335" s="374">
        <f>RasF!C47</f>
        <v>36</v>
      </c>
      <c r="C1335" s="374">
        <f>RasF!D47</f>
        <v>212638</v>
      </c>
      <c r="D1335" s="374">
        <f>RasF!E47</f>
        <v>199622</v>
      </c>
      <c r="E1335" s="374"/>
      <c r="F1335" s="374"/>
      <c r="G1335" s="375">
        <f t="shared" si="44"/>
        <v>22027.752</v>
      </c>
      <c r="H1335" s="375">
        <f t="shared" si="45"/>
        <v>0</v>
      </c>
      <c r="I1335" s="376"/>
    </row>
    <row r="1336" spans="1:9" x14ac:dyDescent="0.25">
      <c r="A1336" s="373">
        <v>154</v>
      </c>
      <c r="B1336" s="374">
        <f>RasF!C48</f>
        <v>37</v>
      </c>
      <c r="C1336" s="374">
        <f>RasF!D48</f>
        <v>0</v>
      </c>
      <c r="D1336" s="374">
        <f>RasF!E48</f>
        <v>0</v>
      </c>
      <c r="E1336" s="374"/>
      <c r="F1336" s="374"/>
      <c r="G1336" s="375">
        <f t="shared" si="44"/>
        <v>0</v>
      </c>
      <c r="H1336" s="375">
        <f t="shared" si="45"/>
        <v>0</v>
      </c>
      <c r="I1336" s="376"/>
    </row>
    <row r="1337" spans="1:9" x14ac:dyDescent="0.25">
      <c r="A1337" s="373">
        <v>154</v>
      </c>
      <c r="B1337" s="374">
        <f>RasF!C49</f>
        <v>38</v>
      </c>
      <c r="C1337" s="374">
        <f>RasF!D49</f>
        <v>0</v>
      </c>
      <c r="D1337" s="374">
        <f>RasF!E49</f>
        <v>0</v>
      </c>
      <c r="E1337" s="374"/>
      <c r="F1337" s="374"/>
      <c r="G1337" s="375">
        <f t="shared" si="44"/>
        <v>0</v>
      </c>
      <c r="H1337" s="375">
        <f t="shared" si="45"/>
        <v>0</v>
      </c>
      <c r="I1337" s="376"/>
    </row>
    <row r="1338" spans="1:9" x14ac:dyDescent="0.25">
      <c r="A1338" s="373">
        <v>154</v>
      </c>
      <c r="B1338" s="374">
        <f>RasF!C50</f>
        <v>39</v>
      </c>
      <c r="C1338" s="374">
        <f>RasF!D50</f>
        <v>0</v>
      </c>
      <c r="D1338" s="374">
        <f>RasF!E50</f>
        <v>0</v>
      </c>
      <c r="E1338" s="374"/>
      <c r="F1338" s="374"/>
      <c r="G1338" s="375">
        <f t="shared" si="44"/>
        <v>0</v>
      </c>
      <c r="H1338" s="375">
        <f t="shared" si="45"/>
        <v>0</v>
      </c>
      <c r="I1338" s="376"/>
    </row>
    <row r="1339" spans="1:9" x14ac:dyDescent="0.25">
      <c r="A1339" s="373">
        <v>154</v>
      </c>
      <c r="B1339" s="374">
        <f>RasF!C51</f>
        <v>40</v>
      </c>
      <c r="C1339" s="374">
        <f>RasF!D51</f>
        <v>0</v>
      </c>
      <c r="D1339" s="374">
        <f>RasF!E51</f>
        <v>0</v>
      </c>
      <c r="E1339" s="374"/>
      <c r="F1339" s="374"/>
      <c r="G1339" s="375">
        <f t="shared" si="44"/>
        <v>0</v>
      </c>
      <c r="H1339" s="375">
        <f t="shared" si="45"/>
        <v>0</v>
      </c>
      <c r="I1339" s="376"/>
    </row>
    <row r="1340" spans="1:9" x14ac:dyDescent="0.25">
      <c r="A1340" s="373">
        <v>154</v>
      </c>
      <c r="B1340" s="374">
        <f>RasF!C52</f>
        <v>41</v>
      </c>
      <c r="C1340" s="374">
        <f>RasF!D52</f>
        <v>0</v>
      </c>
      <c r="D1340" s="374">
        <f>RasF!E52</f>
        <v>0</v>
      </c>
      <c r="E1340" s="374"/>
      <c r="F1340" s="374"/>
      <c r="G1340" s="375">
        <f t="shared" si="44"/>
        <v>0</v>
      </c>
      <c r="H1340" s="375">
        <f t="shared" si="45"/>
        <v>0</v>
      </c>
      <c r="I1340" s="376"/>
    </row>
    <row r="1341" spans="1:9" x14ac:dyDescent="0.25">
      <c r="A1341" s="373">
        <v>154</v>
      </c>
      <c r="B1341" s="374">
        <f>RasF!C53</f>
        <v>42</v>
      </c>
      <c r="C1341" s="374">
        <f>RasF!D53</f>
        <v>0</v>
      </c>
      <c r="D1341" s="374">
        <f>RasF!E53</f>
        <v>0</v>
      </c>
      <c r="E1341" s="374"/>
      <c r="F1341" s="374"/>
      <c r="G1341" s="375">
        <f t="shared" si="44"/>
        <v>0</v>
      </c>
      <c r="H1341" s="375">
        <f t="shared" si="45"/>
        <v>0</v>
      </c>
      <c r="I1341" s="376"/>
    </row>
    <row r="1342" spans="1:9" x14ac:dyDescent="0.25">
      <c r="A1342" s="373">
        <v>154</v>
      </c>
      <c r="B1342" s="374">
        <f>RasF!C54</f>
        <v>43</v>
      </c>
      <c r="C1342" s="374">
        <f>RasF!D54</f>
        <v>0</v>
      </c>
      <c r="D1342" s="374">
        <f>RasF!E54</f>
        <v>0</v>
      </c>
      <c r="E1342" s="374"/>
      <c r="F1342" s="374"/>
      <c r="G1342" s="375">
        <f t="shared" si="44"/>
        <v>0</v>
      </c>
      <c r="H1342" s="375">
        <f t="shared" si="45"/>
        <v>0</v>
      </c>
      <c r="I1342" s="376"/>
    </row>
    <row r="1343" spans="1:9" x14ac:dyDescent="0.25">
      <c r="A1343" s="373">
        <v>154</v>
      </c>
      <c r="B1343" s="374">
        <f>RasF!C55</f>
        <v>44</v>
      </c>
      <c r="C1343" s="374">
        <f>RasF!D55</f>
        <v>0</v>
      </c>
      <c r="D1343" s="374">
        <f>RasF!E55</f>
        <v>0</v>
      </c>
      <c r="E1343" s="374"/>
      <c r="F1343" s="374"/>
      <c r="G1343" s="375">
        <f t="shared" si="44"/>
        <v>0</v>
      </c>
      <c r="H1343" s="375">
        <f t="shared" si="45"/>
        <v>0</v>
      </c>
      <c r="I1343" s="376"/>
    </row>
    <row r="1344" spans="1:9" x14ac:dyDescent="0.25">
      <c r="A1344" s="373">
        <v>154</v>
      </c>
      <c r="B1344" s="374">
        <f>RasF!C56</f>
        <v>45</v>
      </c>
      <c r="C1344" s="374">
        <f>RasF!D56</f>
        <v>0</v>
      </c>
      <c r="D1344" s="374">
        <f>RasF!E56</f>
        <v>0</v>
      </c>
      <c r="E1344" s="374"/>
      <c r="F1344" s="374"/>
      <c r="G1344" s="375">
        <f t="shared" si="44"/>
        <v>0</v>
      </c>
      <c r="H1344" s="375">
        <f t="shared" si="45"/>
        <v>0</v>
      </c>
      <c r="I1344" s="376"/>
    </row>
    <row r="1345" spans="1:9" x14ac:dyDescent="0.25">
      <c r="A1345" s="373">
        <v>154</v>
      </c>
      <c r="B1345" s="374">
        <f>RasF!C57</f>
        <v>46</v>
      </c>
      <c r="C1345" s="374">
        <f>RasF!D57</f>
        <v>0</v>
      </c>
      <c r="D1345" s="374">
        <f>RasF!E57</f>
        <v>0</v>
      </c>
      <c r="E1345" s="374"/>
      <c r="F1345" s="374"/>
      <c r="G1345" s="375">
        <f t="shared" si="44"/>
        <v>0</v>
      </c>
      <c r="H1345" s="375">
        <f t="shared" si="45"/>
        <v>0</v>
      </c>
      <c r="I1345" s="376"/>
    </row>
    <row r="1346" spans="1:9" x14ac:dyDescent="0.25">
      <c r="A1346" s="373">
        <v>154</v>
      </c>
      <c r="B1346" s="374">
        <f>RasF!C58</f>
        <v>47</v>
      </c>
      <c r="C1346" s="374">
        <f>RasF!D58</f>
        <v>0</v>
      </c>
      <c r="D1346" s="374">
        <f>RasF!E58</f>
        <v>0</v>
      </c>
      <c r="E1346" s="374"/>
      <c r="F1346" s="374"/>
      <c r="G1346" s="375">
        <f t="shared" si="44"/>
        <v>0</v>
      </c>
      <c r="H1346" s="375">
        <f t="shared" si="45"/>
        <v>0</v>
      </c>
      <c r="I1346" s="376"/>
    </row>
    <row r="1347" spans="1:9" x14ac:dyDescent="0.25">
      <c r="A1347" s="373">
        <v>154</v>
      </c>
      <c r="B1347" s="374">
        <f>RasF!C59</f>
        <v>48</v>
      </c>
      <c r="C1347" s="374">
        <f>RasF!D59</f>
        <v>0</v>
      </c>
      <c r="D1347" s="374">
        <f>RasF!E59</f>
        <v>0</v>
      </c>
      <c r="E1347" s="374"/>
      <c r="F1347" s="374"/>
      <c r="G1347" s="375">
        <f t="shared" si="44"/>
        <v>0</v>
      </c>
      <c r="H1347" s="375">
        <f t="shared" si="45"/>
        <v>0</v>
      </c>
      <c r="I1347" s="376"/>
    </row>
    <row r="1348" spans="1:9" x14ac:dyDescent="0.25">
      <c r="A1348" s="373">
        <v>154</v>
      </c>
      <c r="B1348" s="374">
        <f>RasF!C60</f>
        <v>49</v>
      </c>
      <c r="C1348" s="374">
        <f>RasF!D60</f>
        <v>0</v>
      </c>
      <c r="D1348" s="374">
        <f>RasF!E60</f>
        <v>0</v>
      </c>
      <c r="E1348" s="374"/>
      <c r="F1348" s="374"/>
      <c r="G1348" s="375">
        <f t="shared" si="44"/>
        <v>0</v>
      </c>
      <c r="H1348" s="375">
        <f t="shared" si="45"/>
        <v>0</v>
      </c>
      <c r="I1348" s="376"/>
    </row>
    <row r="1349" spans="1:9" x14ac:dyDescent="0.25">
      <c r="A1349" s="373">
        <v>154</v>
      </c>
      <c r="B1349" s="374">
        <f>RasF!C61</f>
        <v>50</v>
      </c>
      <c r="C1349" s="374">
        <f>RasF!D61</f>
        <v>200060</v>
      </c>
      <c r="D1349" s="374">
        <f>RasF!E61</f>
        <v>537949</v>
      </c>
      <c r="E1349" s="374"/>
      <c r="F1349" s="374"/>
      <c r="G1349" s="375">
        <f t="shared" si="44"/>
        <v>63797.9</v>
      </c>
      <c r="H1349" s="375">
        <f t="shared" si="45"/>
        <v>0</v>
      </c>
      <c r="I1349" s="376"/>
    </row>
    <row r="1350" spans="1:9" x14ac:dyDescent="0.25">
      <c r="A1350" s="373">
        <v>154</v>
      </c>
      <c r="B1350" s="374">
        <f>RasF!C62</f>
        <v>51</v>
      </c>
      <c r="C1350" s="374">
        <f>RasF!D62</f>
        <v>200060</v>
      </c>
      <c r="D1350" s="374">
        <f>RasF!E62</f>
        <v>537949</v>
      </c>
      <c r="E1350" s="374"/>
      <c r="F1350" s="374"/>
      <c r="G1350" s="375">
        <f t="shared" si="44"/>
        <v>65073.857999999993</v>
      </c>
      <c r="H1350" s="375">
        <f t="shared" si="45"/>
        <v>0</v>
      </c>
      <c r="I1350" s="376"/>
    </row>
    <row r="1351" spans="1:9" x14ac:dyDescent="0.25">
      <c r="A1351" s="373">
        <v>154</v>
      </c>
      <c r="B1351" s="374">
        <f>RasF!C63</f>
        <v>52</v>
      </c>
      <c r="C1351" s="374">
        <f>RasF!D63</f>
        <v>0</v>
      </c>
      <c r="D1351" s="374">
        <f>RasF!E63</f>
        <v>0</v>
      </c>
      <c r="E1351" s="374"/>
      <c r="F1351" s="374"/>
      <c r="G1351" s="375">
        <f t="shared" si="44"/>
        <v>0</v>
      </c>
      <c r="H1351" s="375">
        <f t="shared" si="45"/>
        <v>0</v>
      </c>
      <c r="I1351" s="376"/>
    </row>
    <row r="1352" spans="1:9" x14ac:dyDescent="0.25">
      <c r="A1352" s="373">
        <v>154</v>
      </c>
      <c r="B1352" s="374">
        <f>RasF!C64</f>
        <v>53</v>
      </c>
      <c r="C1352" s="374">
        <f>RasF!D64</f>
        <v>0</v>
      </c>
      <c r="D1352" s="374">
        <f>RasF!E64</f>
        <v>0</v>
      </c>
      <c r="E1352" s="374"/>
      <c r="F1352" s="374"/>
      <c r="G1352" s="375">
        <f t="shared" si="44"/>
        <v>0</v>
      </c>
      <c r="H1352" s="375">
        <f t="shared" si="45"/>
        <v>0</v>
      </c>
      <c r="I1352" s="376"/>
    </row>
    <row r="1353" spans="1:9" x14ac:dyDescent="0.25">
      <c r="A1353" s="373">
        <v>154</v>
      </c>
      <c r="B1353" s="374">
        <f>RasF!C65</f>
        <v>54</v>
      </c>
      <c r="C1353" s="374">
        <f>RasF!D65</f>
        <v>0</v>
      </c>
      <c r="D1353" s="374">
        <f>RasF!E65</f>
        <v>0</v>
      </c>
      <c r="E1353" s="374"/>
      <c r="F1353" s="374"/>
      <c r="G1353" s="375">
        <f t="shared" si="44"/>
        <v>0</v>
      </c>
      <c r="H1353" s="375">
        <f t="shared" si="45"/>
        <v>0</v>
      </c>
      <c r="I1353" s="376"/>
    </row>
    <row r="1354" spans="1:9" x14ac:dyDescent="0.25">
      <c r="A1354" s="373">
        <v>154</v>
      </c>
      <c r="B1354" s="374">
        <f>RasF!C66</f>
        <v>55</v>
      </c>
      <c r="C1354" s="374">
        <f>RasF!D66</f>
        <v>0</v>
      </c>
      <c r="D1354" s="374">
        <f>RasF!E66</f>
        <v>0</v>
      </c>
      <c r="E1354" s="374"/>
      <c r="F1354" s="374"/>
      <c r="G1354" s="375">
        <f t="shared" si="44"/>
        <v>0</v>
      </c>
      <c r="H1354" s="375">
        <f t="shared" si="45"/>
        <v>0</v>
      </c>
      <c r="I1354" s="376"/>
    </row>
    <row r="1355" spans="1:9" x14ac:dyDescent="0.25">
      <c r="A1355" s="373">
        <v>154</v>
      </c>
      <c r="B1355" s="374">
        <f>RasF!C67</f>
        <v>56</v>
      </c>
      <c r="C1355" s="374">
        <f>RasF!D67</f>
        <v>0</v>
      </c>
      <c r="D1355" s="374">
        <f>RasF!E67</f>
        <v>0</v>
      </c>
      <c r="E1355" s="374"/>
      <c r="F1355" s="374"/>
      <c r="G1355" s="375">
        <f t="shared" si="44"/>
        <v>0</v>
      </c>
      <c r="H1355" s="375">
        <f t="shared" si="45"/>
        <v>0</v>
      </c>
      <c r="I1355" s="376"/>
    </row>
    <row r="1356" spans="1:9" x14ac:dyDescent="0.25">
      <c r="A1356" s="373">
        <v>154</v>
      </c>
      <c r="B1356" s="374">
        <f>RasF!C68</f>
        <v>57</v>
      </c>
      <c r="C1356" s="374">
        <f>RasF!D68</f>
        <v>0</v>
      </c>
      <c r="D1356" s="374">
        <f>RasF!E68</f>
        <v>0</v>
      </c>
      <c r="E1356" s="374"/>
      <c r="F1356" s="374"/>
      <c r="G1356" s="375">
        <f t="shared" si="44"/>
        <v>0</v>
      </c>
      <c r="H1356" s="375">
        <f t="shared" si="45"/>
        <v>0</v>
      </c>
      <c r="I1356" s="376"/>
    </row>
    <row r="1357" spans="1:9" x14ac:dyDescent="0.25">
      <c r="A1357" s="373">
        <v>154</v>
      </c>
      <c r="B1357" s="374">
        <f>RasF!C69</f>
        <v>58</v>
      </c>
      <c r="C1357" s="374">
        <f>RasF!D69</f>
        <v>0</v>
      </c>
      <c r="D1357" s="374">
        <f>RasF!E69</f>
        <v>0</v>
      </c>
      <c r="E1357" s="374"/>
      <c r="F1357" s="374"/>
      <c r="G1357" s="375">
        <f t="shared" si="44"/>
        <v>0</v>
      </c>
      <c r="H1357" s="375">
        <f t="shared" si="45"/>
        <v>0</v>
      </c>
      <c r="I1357" s="376"/>
    </row>
    <row r="1358" spans="1:9" x14ac:dyDescent="0.25">
      <c r="A1358" s="373">
        <v>154</v>
      </c>
      <c r="B1358" s="374">
        <f>RasF!C70</f>
        <v>59</v>
      </c>
      <c r="C1358" s="374">
        <f>RasF!D70</f>
        <v>0</v>
      </c>
      <c r="D1358" s="374">
        <f>RasF!E70</f>
        <v>0</v>
      </c>
      <c r="E1358" s="374"/>
      <c r="F1358" s="374"/>
      <c r="G1358" s="375">
        <f t="shared" si="44"/>
        <v>0</v>
      </c>
      <c r="H1358" s="375">
        <f t="shared" si="45"/>
        <v>0</v>
      </c>
      <c r="I1358" s="376"/>
    </row>
    <row r="1359" spans="1:9" x14ac:dyDescent="0.25">
      <c r="A1359" s="373">
        <v>154</v>
      </c>
      <c r="B1359" s="374">
        <f>RasF!C71</f>
        <v>60</v>
      </c>
      <c r="C1359" s="374">
        <f>RasF!D71</f>
        <v>0</v>
      </c>
      <c r="D1359" s="374">
        <f>RasF!E71</f>
        <v>0</v>
      </c>
      <c r="E1359" s="374"/>
      <c r="F1359" s="374"/>
      <c r="G1359" s="375">
        <f t="shared" si="44"/>
        <v>0</v>
      </c>
      <c r="H1359" s="375">
        <f t="shared" si="45"/>
        <v>0</v>
      </c>
      <c r="I1359" s="376"/>
    </row>
    <row r="1360" spans="1:9" x14ac:dyDescent="0.25">
      <c r="A1360" s="373">
        <v>154</v>
      </c>
      <c r="B1360" s="374">
        <f>RasF!C72</f>
        <v>61</v>
      </c>
      <c r="C1360" s="374">
        <f>RasF!D72</f>
        <v>0</v>
      </c>
      <c r="D1360" s="374">
        <f>RasF!E72</f>
        <v>0</v>
      </c>
      <c r="E1360" s="374"/>
      <c r="F1360" s="374"/>
      <c r="G1360" s="375">
        <f t="shared" si="44"/>
        <v>0</v>
      </c>
      <c r="H1360" s="375">
        <f t="shared" si="45"/>
        <v>0</v>
      </c>
      <c r="I1360" s="376"/>
    </row>
    <row r="1361" spans="1:9" x14ac:dyDescent="0.25">
      <c r="A1361" s="373">
        <v>154</v>
      </c>
      <c r="B1361" s="374">
        <f>RasF!C73</f>
        <v>62</v>
      </c>
      <c r="C1361" s="374">
        <f>RasF!D73</f>
        <v>0</v>
      </c>
      <c r="D1361" s="374">
        <f>RasF!E73</f>
        <v>0</v>
      </c>
      <c r="E1361" s="374"/>
      <c r="F1361" s="374"/>
      <c r="G1361" s="375">
        <f t="shared" si="44"/>
        <v>0</v>
      </c>
      <c r="H1361" s="375">
        <f t="shared" si="45"/>
        <v>0</v>
      </c>
      <c r="I1361" s="376"/>
    </row>
    <row r="1362" spans="1:9" x14ac:dyDescent="0.25">
      <c r="A1362" s="373">
        <v>154</v>
      </c>
      <c r="B1362" s="374">
        <f>RasF!C74</f>
        <v>63</v>
      </c>
      <c r="C1362" s="374">
        <f>RasF!D74</f>
        <v>0</v>
      </c>
      <c r="D1362" s="374">
        <f>RasF!E74</f>
        <v>0</v>
      </c>
      <c r="E1362" s="374"/>
      <c r="F1362" s="374"/>
      <c r="G1362" s="375">
        <f t="shared" si="44"/>
        <v>0</v>
      </c>
      <c r="H1362" s="375">
        <f t="shared" si="45"/>
        <v>0</v>
      </c>
      <c r="I1362" s="376"/>
    </row>
    <row r="1363" spans="1:9" x14ac:dyDescent="0.25">
      <c r="A1363" s="373">
        <v>154</v>
      </c>
      <c r="B1363" s="374">
        <f>RasF!C75</f>
        <v>64</v>
      </c>
      <c r="C1363" s="374">
        <f>RasF!D75</f>
        <v>0</v>
      </c>
      <c r="D1363" s="374">
        <f>RasF!E75</f>
        <v>0</v>
      </c>
      <c r="E1363" s="374"/>
      <c r="F1363" s="374"/>
      <c r="G1363" s="375">
        <f t="shared" si="44"/>
        <v>0</v>
      </c>
      <c r="H1363" s="375">
        <f t="shared" si="45"/>
        <v>0</v>
      </c>
      <c r="I1363" s="376"/>
    </row>
    <row r="1364" spans="1:9" x14ac:dyDescent="0.25">
      <c r="A1364" s="373">
        <v>154</v>
      </c>
      <c r="B1364" s="374">
        <f>RasF!C76</f>
        <v>65</v>
      </c>
      <c r="C1364" s="374">
        <f>RasF!D76</f>
        <v>0</v>
      </c>
      <c r="D1364" s="374">
        <f>RasF!E76</f>
        <v>0</v>
      </c>
      <c r="E1364" s="374"/>
      <c r="F1364" s="374"/>
      <c r="G1364" s="375">
        <f t="shared" si="44"/>
        <v>0</v>
      </c>
      <c r="H1364" s="375">
        <f t="shared" si="45"/>
        <v>0</v>
      </c>
      <c r="I1364" s="376"/>
    </row>
    <row r="1365" spans="1:9" x14ac:dyDescent="0.25">
      <c r="A1365" s="373">
        <v>154</v>
      </c>
      <c r="B1365" s="374">
        <f>RasF!C77</f>
        <v>66</v>
      </c>
      <c r="C1365" s="374">
        <f>RasF!D77</f>
        <v>0</v>
      </c>
      <c r="D1365" s="374">
        <f>RasF!E77</f>
        <v>0</v>
      </c>
      <c r="E1365" s="374"/>
      <c r="F1365" s="374"/>
      <c r="G1365" s="375">
        <f t="shared" si="44"/>
        <v>0</v>
      </c>
      <c r="H1365" s="375">
        <f t="shared" si="45"/>
        <v>0</v>
      </c>
      <c r="I1365" s="376"/>
    </row>
    <row r="1366" spans="1:9" x14ac:dyDescent="0.25">
      <c r="A1366" s="373">
        <v>154</v>
      </c>
      <c r="B1366" s="374">
        <f>RasF!C78</f>
        <v>67</v>
      </c>
      <c r="C1366" s="374">
        <f>RasF!D78</f>
        <v>0</v>
      </c>
      <c r="D1366" s="374">
        <f>RasF!E78</f>
        <v>0</v>
      </c>
      <c r="E1366" s="374"/>
      <c r="F1366" s="374"/>
      <c r="G1366" s="375">
        <f t="shared" ref="G1366:G1429" si="46">B1366/1000*C1366+B1366/500*D1366</f>
        <v>0</v>
      </c>
      <c r="H1366" s="375">
        <f t="shared" ref="H1366:H1429" si="47">ABS(C1366-ROUND(C1366,0))+ABS(D1366-ROUND(D1366,0))</f>
        <v>0</v>
      </c>
      <c r="I1366" s="376"/>
    </row>
    <row r="1367" spans="1:9" x14ac:dyDescent="0.25">
      <c r="A1367" s="373">
        <v>154</v>
      </c>
      <c r="B1367" s="374">
        <f>RasF!C79</f>
        <v>68</v>
      </c>
      <c r="C1367" s="374">
        <f>RasF!D79</f>
        <v>0</v>
      </c>
      <c r="D1367" s="374">
        <f>RasF!E79</f>
        <v>0</v>
      </c>
      <c r="E1367" s="374"/>
      <c r="F1367" s="374"/>
      <c r="G1367" s="375">
        <f t="shared" si="46"/>
        <v>0</v>
      </c>
      <c r="H1367" s="375">
        <f t="shared" si="47"/>
        <v>0</v>
      </c>
      <c r="I1367" s="376"/>
    </row>
    <row r="1368" spans="1:9" x14ac:dyDescent="0.25">
      <c r="A1368" s="373">
        <v>154</v>
      </c>
      <c r="B1368" s="374">
        <f>RasF!C80</f>
        <v>69</v>
      </c>
      <c r="C1368" s="374">
        <f>RasF!D80</f>
        <v>0</v>
      </c>
      <c r="D1368" s="374">
        <f>RasF!E80</f>
        <v>0</v>
      </c>
      <c r="E1368" s="374"/>
      <c r="F1368" s="374"/>
      <c r="G1368" s="375">
        <f t="shared" si="46"/>
        <v>0</v>
      </c>
      <c r="H1368" s="375">
        <f t="shared" si="47"/>
        <v>0</v>
      </c>
      <c r="I1368" s="376"/>
    </row>
    <row r="1369" spans="1:9" x14ac:dyDescent="0.25">
      <c r="A1369" s="373">
        <v>154</v>
      </c>
      <c r="B1369" s="374">
        <f>RasF!C81</f>
        <v>70</v>
      </c>
      <c r="C1369" s="374">
        <f>RasF!D81</f>
        <v>0</v>
      </c>
      <c r="D1369" s="374">
        <f>RasF!E81</f>
        <v>0</v>
      </c>
      <c r="E1369" s="374"/>
      <c r="F1369" s="374"/>
      <c r="G1369" s="375">
        <f t="shared" si="46"/>
        <v>0</v>
      </c>
      <c r="H1369" s="375">
        <f t="shared" si="47"/>
        <v>0</v>
      </c>
      <c r="I1369" s="376"/>
    </row>
    <row r="1370" spans="1:9" x14ac:dyDescent="0.25">
      <c r="A1370" s="373">
        <v>154</v>
      </c>
      <c r="B1370" s="374">
        <f>RasF!C82</f>
        <v>71</v>
      </c>
      <c r="C1370" s="374">
        <f>RasF!D82</f>
        <v>0</v>
      </c>
      <c r="D1370" s="374">
        <f>RasF!E82</f>
        <v>0</v>
      </c>
      <c r="E1370" s="374"/>
      <c r="F1370" s="374"/>
      <c r="G1370" s="375">
        <f t="shared" si="46"/>
        <v>0</v>
      </c>
      <c r="H1370" s="375">
        <f t="shared" si="47"/>
        <v>0</v>
      </c>
      <c r="I1370" s="376"/>
    </row>
    <row r="1371" spans="1:9" x14ac:dyDescent="0.25">
      <c r="A1371" s="373">
        <v>154</v>
      </c>
      <c r="B1371" s="374">
        <f>RasF!C83</f>
        <v>72</v>
      </c>
      <c r="C1371" s="374">
        <f>RasF!D83</f>
        <v>0</v>
      </c>
      <c r="D1371" s="374">
        <f>RasF!E83</f>
        <v>0</v>
      </c>
      <c r="E1371" s="374"/>
      <c r="F1371" s="374"/>
      <c r="G1371" s="375">
        <f t="shared" si="46"/>
        <v>0</v>
      </c>
      <c r="H1371" s="375">
        <f t="shared" si="47"/>
        <v>0</v>
      </c>
      <c r="I1371" s="376"/>
    </row>
    <row r="1372" spans="1:9" x14ac:dyDescent="0.25">
      <c r="A1372" s="373">
        <v>154</v>
      </c>
      <c r="B1372" s="374">
        <f>RasF!C84</f>
        <v>73</v>
      </c>
      <c r="C1372" s="374">
        <f>RasF!D84</f>
        <v>0</v>
      </c>
      <c r="D1372" s="374">
        <f>RasF!E84</f>
        <v>0</v>
      </c>
      <c r="E1372" s="374"/>
      <c r="F1372" s="374"/>
      <c r="G1372" s="375">
        <f t="shared" si="46"/>
        <v>0</v>
      </c>
      <c r="H1372" s="375">
        <f t="shared" si="47"/>
        <v>0</v>
      </c>
      <c r="I1372" s="376"/>
    </row>
    <row r="1373" spans="1:9" x14ac:dyDescent="0.25">
      <c r="A1373" s="373">
        <v>154</v>
      </c>
      <c r="B1373" s="374">
        <f>RasF!C85</f>
        <v>74</v>
      </c>
      <c r="C1373" s="374">
        <f>RasF!D85</f>
        <v>0</v>
      </c>
      <c r="D1373" s="374">
        <f>RasF!E85</f>
        <v>0</v>
      </c>
      <c r="E1373" s="374"/>
      <c r="F1373" s="374"/>
      <c r="G1373" s="375">
        <f t="shared" si="46"/>
        <v>0</v>
      </c>
      <c r="H1373" s="375">
        <f t="shared" si="47"/>
        <v>0</v>
      </c>
      <c r="I1373" s="376"/>
    </row>
    <row r="1374" spans="1:9" x14ac:dyDescent="0.25">
      <c r="A1374" s="373">
        <v>154</v>
      </c>
      <c r="B1374" s="374">
        <f>RasF!C86</f>
        <v>75</v>
      </c>
      <c r="C1374" s="374">
        <f>RasF!D86</f>
        <v>0</v>
      </c>
      <c r="D1374" s="374">
        <f>RasF!E86</f>
        <v>0</v>
      </c>
      <c r="E1374" s="374"/>
      <c r="F1374" s="374"/>
      <c r="G1374" s="375">
        <f t="shared" si="46"/>
        <v>0</v>
      </c>
      <c r="H1374" s="375">
        <f t="shared" si="47"/>
        <v>0</v>
      </c>
      <c r="I1374" s="376"/>
    </row>
    <row r="1375" spans="1:9" x14ac:dyDescent="0.25">
      <c r="A1375" s="373">
        <v>154</v>
      </c>
      <c r="B1375" s="374">
        <f>RasF!C87</f>
        <v>76</v>
      </c>
      <c r="C1375" s="374">
        <f>RasF!D87</f>
        <v>0</v>
      </c>
      <c r="D1375" s="374">
        <f>RasF!E87</f>
        <v>0</v>
      </c>
      <c r="E1375" s="374"/>
      <c r="F1375" s="374"/>
      <c r="G1375" s="375">
        <f t="shared" si="46"/>
        <v>0</v>
      </c>
      <c r="H1375" s="375">
        <f t="shared" si="47"/>
        <v>0</v>
      </c>
      <c r="I1375" s="376"/>
    </row>
    <row r="1376" spans="1:9" x14ac:dyDescent="0.25">
      <c r="A1376" s="373">
        <v>154</v>
      </c>
      <c r="B1376" s="374">
        <f>RasF!C88</f>
        <v>77</v>
      </c>
      <c r="C1376" s="374">
        <f>RasF!D88</f>
        <v>0</v>
      </c>
      <c r="D1376" s="374">
        <f>RasF!E88</f>
        <v>0</v>
      </c>
      <c r="E1376" s="374"/>
      <c r="F1376" s="374"/>
      <c r="G1376" s="375">
        <f t="shared" si="46"/>
        <v>0</v>
      </c>
      <c r="H1376" s="375">
        <f t="shared" si="47"/>
        <v>0</v>
      </c>
      <c r="I1376" s="376"/>
    </row>
    <row r="1377" spans="1:9" x14ac:dyDescent="0.25">
      <c r="A1377" s="373">
        <v>154</v>
      </c>
      <c r="B1377" s="374">
        <f>RasF!C89</f>
        <v>78</v>
      </c>
      <c r="C1377" s="374">
        <f>RasF!D89</f>
        <v>674881</v>
      </c>
      <c r="D1377" s="374">
        <f>RasF!E89</f>
        <v>1084559</v>
      </c>
      <c r="E1377" s="374"/>
      <c r="F1377" s="374"/>
      <c r="G1377" s="375">
        <f t="shared" si="46"/>
        <v>221831.92199999999</v>
      </c>
      <c r="H1377" s="375">
        <f t="shared" si="47"/>
        <v>0</v>
      </c>
      <c r="I1377" s="376"/>
    </row>
    <row r="1378" spans="1:9" x14ac:dyDescent="0.25">
      <c r="A1378" s="373">
        <v>154</v>
      </c>
      <c r="B1378" s="374">
        <f>RasF!C90</f>
        <v>79</v>
      </c>
      <c r="C1378" s="374">
        <f>RasF!D90</f>
        <v>0</v>
      </c>
      <c r="D1378" s="374">
        <f>RasF!E90</f>
        <v>0</v>
      </c>
      <c r="E1378" s="374"/>
      <c r="F1378" s="374"/>
      <c r="G1378" s="375">
        <f t="shared" si="46"/>
        <v>0</v>
      </c>
      <c r="H1378" s="375">
        <f t="shared" si="47"/>
        <v>0</v>
      </c>
      <c r="I1378" s="376"/>
    </row>
    <row r="1379" spans="1:9" x14ac:dyDescent="0.25">
      <c r="A1379" s="373">
        <v>154</v>
      </c>
      <c r="B1379" s="374">
        <f>RasF!C91</f>
        <v>80</v>
      </c>
      <c r="C1379" s="374">
        <f>RasF!D91</f>
        <v>0</v>
      </c>
      <c r="D1379" s="374">
        <f>RasF!E91</f>
        <v>0</v>
      </c>
      <c r="E1379" s="374"/>
      <c r="F1379" s="374"/>
      <c r="G1379" s="375">
        <f t="shared" si="46"/>
        <v>0</v>
      </c>
      <c r="H1379" s="375">
        <f t="shared" si="47"/>
        <v>0</v>
      </c>
      <c r="I1379" s="376"/>
    </row>
    <row r="1380" spans="1:9" x14ac:dyDescent="0.25">
      <c r="A1380" s="373">
        <v>154</v>
      </c>
      <c r="B1380" s="374">
        <f>RasF!C92</f>
        <v>81</v>
      </c>
      <c r="C1380" s="374">
        <f>RasF!D92</f>
        <v>300129</v>
      </c>
      <c r="D1380" s="374">
        <f>RasF!E92</f>
        <v>783673</v>
      </c>
      <c r="E1380" s="374"/>
      <c r="F1380" s="374"/>
      <c r="G1380" s="375">
        <f t="shared" si="46"/>
        <v>151265.47500000001</v>
      </c>
      <c r="H1380" s="375">
        <f t="shared" si="47"/>
        <v>0</v>
      </c>
      <c r="I1380" s="376"/>
    </row>
    <row r="1381" spans="1:9" x14ac:dyDescent="0.25">
      <c r="A1381" s="373">
        <v>154</v>
      </c>
      <c r="B1381" s="374">
        <f>RasF!C93</f>
        <v>82</v>
      </c>
      <c r="C1381" s="374">
        <f>RasF!D93</f>
        <v>270075</v>
      </c>
      <c r="D1381" s="374">
        <f>RasF!E93</f>
        <v>215254</v>
      </c>
      <c r="E1381" s="374"/>
      <c r="F1381" s="374"/>
      <c r="G1381" s="375">
        <f t="shared" si="46"/>
        <v>57447.806000000004</v>
      </c>
      <c r="H1381" s="375">
        <f t="shared" si="47"/>
        <v>0</v>
      </c>
      <c r="I1381" s="376"/>
    </row>
    <row r="1382" spans="1:9" x14ac:dyDescent="0.25">
      <c r="A1382" s="373">
        <v>154</v>
      </c>
      <c r="B1382" s="374">
        <f>RasF!C94</f>
        <v>83</v>
      </c>
      <c r="C1382" s="374">
        <f>RasF!D94</f>
        <v>0</v>
      </c>
      <c r="D1382" s="374">
        <f>RasF!E94</f>
        <v>0</v>
      </c>
      <c r="E1382" s="374"/>
      <c r="F1382" s="374"/>
      <c r="G1382" s="375">
        <f t="shared" si="46"/>
        <v>0</v>
      </c>
      <c r="H1382" s="375">
        <f t="shared" si="47"/>
        <v>0</v>
      </c>
      <c r="I1382" s="376"/>
    </row>
    <row r="1383" spans="1:9" x14ac:dyDescent="0.25">
      <c r="A1383" s="373">
        <v>154</v>
      </c>
      <c r="B1383" s="374">
        <f>RasF!C95</f>
        <v>84</v>
      </c>
      <c r="C1383" s="374">
        <f>RasF!D95</f>
        <v>104677</v>
      </c>
      <c r="D1383" s="374">
        <f>RasF!E95</f>
        <v>85632</v>
      </c>
      <c r="E1383" s="374"/>
      <c r="F1383" s="374"/>
      <c r="G1383" s="375">
        <f t="shared" si="46"/>
        <v>23179.044000000002</v>
      </c>
      <c r="H1383" s="375">
        <f t="shared" si="47"/>
        <v>0</v>
      </c>
      <c r="I1383" s="376"/>
    </row>
    <row r="1384" spans="1:9" x14ac:dyDescent="0.25">
      <c r="A1384" s="373">
        <v>154</v>
      </c>
      <c r="B1384" s="374">
        <f>RasF!C96</f>
        <v>85</v>
      </c>
      <c r="C1384" s="374">
        <f>RasF!D96</f>
        <v>74384</v>
      </c>
      <c r="D1384" s="374">
        <f>RasF!E96</f>
        <v>31028</v>
      </c>
      <c r="E1384" s="374"/>
      <c r="F1384" s="374"/>
      <c r="G1384" s="375">
        <f t="shared" si="46"/>
        <v>11597.400000000001</v>
      </c>
      <c r="H1384" s="375">
        <f t="shared" si="47"/>
        <v>0</v>
      </c>
      <c r="I1384" s="376"/>
    </row>
    <row r="1385" spans="1:9" x14ac:dyDescent="0.25">
      <c r="A1385" s="373">
        <v>154</v>
      </c>
      <c r="B1385" s="374">
        <f>RasF!C97</f>
        <v>86</v>
      </c>
      <c r="C1385" s="374">
        <f>RasF!D97</f>
        <v>0</v>
      </c>
      <c r="D1385" s="374">
        <f>RasF!E97</f>
        <v>0</v>
      </c>
      <c r="E1385" s="374"/>
      <c r="F1385" s="374"/>
      <c r="G1385" s="375">
        <f t="shared" si="46"/>
        <v>0</v>
      </c>
      <c r="H1385" s="375">
        <f t="shared" si="47"/>
        <v>0</v>
      </c>
      <c r="I1385" s="376"/>
    </row>
    <row r="1386" spans="1:9" x14ac:dyDescent="0.25">
      <c r="A1386" s="373">
        <v>154</v>
      </c>
      <c r="B1386" s="374">
        <f>RasF!C98</f>
        <v>87</v>
      </c>
      <c r="C1386" s="374">
        <f>RasF!D98</f>
        <v>0</v>
      </c>
      <c r="D1386" s="374">
        <f>RasF!E98</f>
        <v>0</v>
      </c>
      <c r="E1386" s="374"/>
      <c r="F1386" s="374"/>
      <c r="G1386" s="375">
        <f t="shared" si="46"/>
        <v>0</v>
      </c>
      <c r="H1386" s="375">
        <f t="shared" si="47"/>
        <v>0</v>
      </c>
      <c r="I1386" s="376"/>
    </row>
    <row r="1387" spans="1:9" x14ac:dyDescent="0.25">
      <c r="A1387" s="373">
        <v>154</v>
      </c>
      <c r="B1387" s="374">
        <f>RasF!C99</f>
        <v>88</v>
      </c>
      <c r="C1387" s="374">
        <f>RasF!D99</f>
        <v>0</v>
      </c>
      <c r="D1387" s="374">
        <f>RasF!E99</f>
        <v>0</v>
      </c>
      <c r="E1387" s="374"/>
      <c r="F1387" s="374"/>
      <c r="G1387" s="375">
        <f t="shared" si="46"/>
        <v>0</v>
      </c>
      <c r="H1387" s="375">
        <f t="shared" si="47"/>
        <v>0</v>
      </c>
      <c r="I1387" s="376"/>
    </row>
    <row r="1388" spans="1:9" x14ac:dyDescent="0.25">
      <c r="A1388" s="373">
        <v>154</v>
      </c>
      <c r="B1388" s="374">
        <f>RasF!C100</f>
        <v>89</v>
      </c>
      <c r="C1388" s="374">
        <f>RasF!D100</f>
        <v>0</v>
      </c>
      <c r="D1388" s="374">
        <f>RasF!E100</f>
        <v>0</v>
      </c>
      <c r="E1388" s="374"/>
      <c r="F1388" s="374"/>
      <c r="G1388" s="375">
        <f t="shared" si="46"/>
        <v>0</v>
      </c>
      <c r="H1388" s="375">
        <f t="shared" si="47"/>
        <v>0</v>
      </c>
      <c r="I1388" s="376"/>
    </row>
    <row r="1389" spans="1:9" x14ac:dyDescent="0.25">
      <c r="A1389" s="373">
        <v>154</v>
      </c>
      <c r="B1389" s="374">
        <f>RasF!C101</f>
        <v>90</v>
      </c>
      <c r="C1389" s="374">
        <f>RasF!D101</f>
        <v>0</v>
      </c>
      <c r="D1389" s="374">
        <f>RasF!E101</f>
        <v>0</v>
      </c>
      <c r="E1389" s="374"/>
      <c r="F1389" s="374"/>
      <c r="G1389" s="375">
        <f t="shared" si="46"/>
        <v>0</v>
      </c>
      <c r="H1389" s="375">
        <f t="shared" si="47"/>
        <v>0</v>
      </c>
      <c r="I1389" s="376"/>
    </row>
    <row r="1390" spans="1:9" x14ac:dyDescent="0.25">
      <c r="A1390" s="373">
        <v>154</v>
      </c>
      <c r="B1390" s="374">
        <f>RasF!C102</f>
        <v>91</v>
      </c>
      <c r="C1390" s="374">
        <f>RasF!D102</f>
        <v>0</v>
      </c>
      <c r="D1390" s="374">
        <f>RasF!E102</f>
        <v>0</v>
      </c>
      <c r="E1390" s="374"/>
      <c r="F1390" s="374"/>
      <c r="G1390" s="375">
        <f t="shared" si="46"/>
        <v>0</v>
      </c>
      <c r="H1390" s="375">
        <f t="shared" si="47"/>
        <v>0</v>
      </c>
      <c r="I1390" s="376"/>
    </row>
    <row r="1391" spans="1:9" x14ac:dyDescent="0.25">
      <c r="A1391" s="373">
        <v>154</v>
      </c>
      <c r="B1391" s="374">
        <f>RasF!C103</f>
        <v>92</v>
      </c>
      <c r="C1391" s="374">
        <f>RasF!D103</f>
        <v>0</v>
      </c>
      <c r="D1391" s="374">
        <f>RasF!E103</f>
        <v>0</v>
      </c>
      <c r="E1391" s="374"/>
      <c r="F1391" s="374"/>
      <c r="G1391" s="375">
        <f t="shared" si="46"/>
        <v>0</v>
      </c>
      <c r="H1391" s="375">
        <f t="shared" si="47"/>
        <v>0</v>
      </c>
      <c r="I1391" s="376"/>
    </row>
    <row r="1392" spans="1:9" x14ac:dyDescent="0.25">
      <c r="A1392" s="373">
        <v>154</v>
      </c>
      <c r="B1392" s="374">
        <f>RasF!C104</f>
        <v>93</v>
      </c>
      <c r="C1392" s="374">
        <f>RasF!D104</f>
        <v>0</v>
      </c>
      <c r="D1392" s="374">
        <f>RasF!E104</f>
        <v>0</v>
      </c>
      <c r="E1392" s="374"/>
      <c r="F1392" s="374"/>
      <c r="G1392" s="375">
        <f t="shared" si="46"/>
        <v>0</v>
      </c>
      <c r="H1392" s="375">
        <f t="shared" si="47"/>
        <v>0</v>
      </c>
      <c r="I1392" s="376"/>
    </row>
    <row r="1393" spans="1:9" x14ac:dyDescent="0.25">
      <c r="A1393" s="373">
        <v>154</v>
      </c>
      <c r="B1393" s="374">
        <f>RasF!C105</f>
        <v>94</v>
      </c>
      <c r="C1393" s="374">
        <f>RasF!D105</f>
        <v>0</v>
      </c>
      <c r="D1393" s="374">
        <f>RasF!E105</f>
        <v>0</v>
      </c>
      <c r="E1393" s="374"/>
      <c r="F1393" s="374"/>
      <c r="G1393" s="375">
        <f t="shared" si="46"/>
        <v>0</v>
      </c>
      <c r="H1393" s="375">
        <f t="shared" si="47"/>
        <v>0</v>
      </c>
      <c r="I1393" s="376"/>
    </row>
    <row r="1394" spans="1:9" x14ac:dyDescent="0.25">
      <c r="A1394" s="373">
        <v>154</v>
      </c>
      <c r="B1394" s="374">
        <f>RasF!C106</f>
        <v>95</v>
      </c>
      <c r="C1394" s="374">
        <f>RasF!D106</f>
        <v>0</v>
      </c>
      <c r="D1394" s="374">
        <f>RasF!E106</f>
        <v>0</v>
      </c>
      <c r="E1394" s="374"/>
      <c r="F1394" s="374"/>
      <c r="G1394" s="375">
        <f t="shared" si="46"/>
        <v>0</v>
      </c>
      <c r="H1394" s="375">
        <f t="shared" si="47"/>
        <v>0</v>
      </c>
      <c r="I1394" s="376"/>
    </row>
    <row r="1395" spans="1:9" x14ac:dyDescent="0.25">
      <c r="A1395" s="373">
        <v>154</v>
      </c>
      <c r="B1395" s="374">
        <f>RasF!C107</f>
        <v>96</v>
      </c>
      <c r="C1395" s="374">
        <f>RasF!D107</f>
        <v>0</v>
      </c>
      <c r="D1395" s="374">
        <f>RasF!E107</f>
        <v>0</v>
      </c>
      <c r="E1395" s="374"/>
      <c r="F1395" s="374"/>
      <c r="G1395" s="375">
        <f t="shared" si="46"/>
        <v>0</v>
      </c>
      <c r="H1395" s="375">
        <f t="shared" si="47"/>
        <v>0</v>
      </c>
      <c r="I1395" s="376"/>
    </row>
    <row r="1396" spans="1:9" x14ac:dyDescent="0.25">
      <c r="A1396" s="373">
        <v>154</v>
      </c>
      <c r="B1396" s="374">
        <f>RasF!C108</f>
        <v>97</v>
      </c>
      <c r="C1396" s="374">
        <f>RasF!D108</f>
        <v>0</v>
      </c>
      <c r="D1396" s="374">
        <f>RasF!E108</f>
        <v>0</v>
      </c>
      <c r="E1396" s="374"/>
      <c r="F1396" s="374"/>
      <c r="G1396" s="375">
        <f t="shared" si="46"/>
        <v>0</v>
      </c>
      <c r="H1396" s="375">
        <f t="shared" si="47"/>
        <v>0</v>
      </c>
      <c r="I1396" s="376"/>
    </row>
    <row r="1397" spans="1:9" x14ac:dyDescent="0.25">
      <c r="A1397" s="373">
        <v>154</v>
      </c>
      <c r="B1397" s="374">
        <f>RasF!C109</f>
        <v>98</v>
      </c>
      <c r="C1397" s="374">
        <f>RasF!D109</f>
        <v>0</v>
      </c>
      <c r="D1397" s="374">
        <f>RasF!E109</f>
        <v>0</v>
      </c>
      <c r="E1397" s="374"/>
      <c r="F1397" s="374"/>
      <c r="G1397" s="375">
        <f t="shared" si="46"/>
        <v>0</v>
      </c>
      <c r="H1397" s="375">
        <f t="shared" si="47"/>
        <v>0</v>
      </c>
      <c r="I1397" s="376"/>
    </row>
    <row r="1398" spans="1:9" x14ac:dyDescent="0.25">
      <c r="A1398" s="373">
        <v>154</v>
      </c>
      <c r="B1398" s="374">
        <f>RasF!C110</f>
        <v>99</v>
      </c>
      <c r="C1398" s="374">
        <f>RasF!D110</f>
        <v>0</v>
      </c>
      <c r="D1398" s="374">
        <f>RasF!E110</f>
        <v>0</v>
      </c>
      <c r="E1398" s="374"/>
      <c r="F1398" s="374"/>
      <c r="G1398" s="375">
        <f t="shared" si="46"/>
        <v>0</v>
      </c>
      <c r="H1398" s="375">
        <f t="shared" si="47"/>
        <v>0</v>
      </c>
      <c r="I1398" s="376"/>
    </row>
    <row r="1399" spans="1:9" x14ac:dyDescent="0.25">
      <c r="A1399" s="373">
        <v>154</v>
      </c>
      <c r="B1399" s="374">
        <f>RasF!C111</f>
        <v>100</v>
      </c>
      <c r="C1399" s="374">
        <f>RasF!D111</f>
        <v>0</v>
      </c>
      <c r="D1399" s="374">
        <f>RasF!E111</f>
        <v>0</v>
      </c>
      <c r="E1399" s="374"/>
      <c r="F1399" s="374"/>
      <c r="G1399" s="375">
        <f t="shared" si="46"/>
        <v>0</v>
      </c>
      <c r="H1399" s="375">
        <f t="shared" si="47"/>
        <v>0</v>
      </c>
      <c r="I1399" s="376"/>
    </row>
    <row r="1400" spans="1:9" x14ac:dyDescent="0.25">
      <c r="A1400" s="373">
        <v>154</v>
      </c>
      <c r="B1400" s="374">
        <f>RasF!C112</f>
        <v>101</v>
      </c>
      <c r="C1400" s="374">
        <f>RasF!D112</f>
        <v>0</v>
      </c>
      <c r="D1400" s="374">
        <f>RasF!E112</f>
        <v>0</v>
      </c>
      <c r="E1400" s="374"/>
      <c r="F1400" s="374"/>
      <c r="G1400" s="375">
        <f t="shared" si="46"/>
        <v>0</v>
      </c>
      <c r="H1400" s="375">
        <f t="shared" si="47"/>
        <v>0</v>
      </c>
      <c r="I1400" s="376"/>
    </row>
    <row r="1401" spans="1:9" x14ac:dyDescent="0.25">
      <c r="A1401" s="373">
        <v>154</v>
      </c>
      <c r="B1401" s="374">
        <f>RasF!C113</f>
        <v>102</v>
      </c>
      <c r="C1401" s="374">
        <f>RasF!D113</f>
        <v>74384</v>
      </c>
      <c r="D1401" s="374">
        <f>RasF!E113</f>
        <v>31028</v>
      </c>
      <c r="E1401" s="374"/>
      <c r="F1401" s="374"/>
      <c r="G1401" s="375">
        <f t="shared" si="46"/>
        <v>13916.88</v>
      </c>
      <c r="H1401" s="375">
        <f t="shared" si="47"/>
        <v>0</v>
      </c>
      <c r="I1401" s="376"/>
    </row>
    <row r="1402" spans="1:9" x14ac:dyDescent="0.25">
      <c r="A1402" s="373">
        <v>154</v>
      </c>
      <c r="B1402" s="374">
        <f>RasF!C114</f>
        <v>103</v>
      </c>
      <c r="C1402" s="374">
        <f>RasF!D114</f>
        <v>142014</v>
      </c>
      <c r="D1402" s="374">
        <f>RasF!E114</f>
        <v>134885</v>
      </c>
      <c r="E1402" s="374"/>
      <c r="F1402" s="374"/>
      <c r="G1402" s="375">
        <f t="shared" si="46"/>
        <v>42413.751999999993</v>
      </c>
      <c r="H1402" s="375">
        <f t="shared" si="47"/>
        <v>0</v>
      </c>
      <c r="I1402" s="376"/>
    </row>
    <row r="1403" spans="1:9" x14ac:dyDescent="0.25">
      <c r="A1403" s="373">
        <v>154</v>
      </c>
      <c r="B1403" s="374">
        <f>RasF!C115</f>
        <v>104</v>
      </c>
      <c r="C1403" s="374">
        <f>RasF!D115</f>
        <v>93814</v>
      </c>
      <c r="D1403" s="374">
        <f>RasF!E115</f>
        <v>93625</v>
      </c>
      <c r="E1403" s="374"/>
      <c r="F1403" s="374"/>
      <c r="G1403" s="375">
        <f t="shared" si="46"/>
        <v>29230.655999999999</v>
      </c>
      <c r="H1403" s="375">
        <f t="shared" si="47"/>
        <v>0</v>
      </c>
      <c r="I1403" s="376"/>
    </row>
    <row r="1404" spans="1:9" x14ac:dyDescent="0.25">
      <c r="A1404" s="373">
        <v>154</v>
      </c>
      <c r="B1404" s="374">
        <f>RasF!C116</f>
        <v>105</v>
      </c>
      <c r="C1404" s="374">
        <f>RasF!D116</f>
        <v>7000</v>
      </c>
      <c r="D1404" s="374">
        <f>RasF!E116</f>
        <v>7000</v>
      </c>
      <c r="E1404" s="374"/>
      <c r="F1404" s="374"/>
      <c r="G1404" s="375">
        <f t="shared" si="46"/>
        <v>2205</v>
      </c>
      <c r="H1404" s="375">
        <f t="shared" si="47"/>
        <v>0</v>
      </c>
      <c r="I1404" s="376"/>
    </row>
    <row r="1405" spans="1:9" x14ac:dyDescent="0.25">
      <c r="A1405" s="373">
        <v>154</v>
      </c>
      <c r="B1405" s="374">
        <f>RasF!C117</f>
        <v>106</v>
      </c>
      <c r="C1405" s="374">
        <f>RasF!D117</f>
        <v>0</v>
      </c>
      <c r="D1405" s="374">
        <f>RasF!E117</f>
        <v>0</v>
      </c>
      <c r="E1405" s="374"/>
      <c r="F1405" s="374"/>
      <c r="G1405" s="375">
        <f t="shared" si="46"/>
        <v>0</v>
      </c>
      <c r="H1405" s="375">
        <f t="shared" si="47"/>
        <v>0</v>
      </c>
      <c r="I1405" s="376"/>
    </row>
    <row r="1406" spans="1:9" x14ac:dyDescent="0.25">
      <c r="A1406" s="373">
        <v>154</v>
      </c>
      <c r="B1406" s="374">
        <f>RasF!C118</f>
        <v>107</v>
      </c>
      <c r="C1406" s="374">
        <f>RasF!D118</f>
        <v>25000</v>
      </c>
      <c r="D1406" s="374">
        <f>RasF!E118</f>
        <v>20000</v>
      </c>
      <c r="E1406" s="374"/>
      <c r="F1406" s="374"/>
      <c r="G1406" s="375">
        <f t="shared" si="46"/>
        <v>6955</v>
      </c>
      <c r="H1406" s="375">
        <f t="shared" si="47"/>
        <v>0</v>
      </c>
      <c r="I1406" s="376"/>
    </row>
    <row r="1407" spans="1:9" x14ac:dyDescent="0.25">
      <c r="A1407" s="373">
        <v>154</v>
      </c>
      <c r="B1407" s="374">
        <f>RasF!C119</f>
        <v>108</v>
      </c>
      <c r="C1407" s="374">
        <f>RasF!D119</f>
        <v>0</v>
      </c>
      <c r="D1407" s="374">
        <f>RasF!E119</f>
        <v>0</v>
      </c>
      <c r="E1407" s="374"/>
      <c r="F1407" s="374"/>
      <c r="G1407" s="375">
        <f t="shared" si="46"/>
        <v>0</v>
      </c>
      <c r="H1407" s="375">
        <f t="shared" si="47"/>
        <v>0</v>
      </c>
      <c r="I1407" s="376"/>
    </row>
    <row r="1408" spans="1:9" x14ac:dyDescent="0.25">
      <c r="A1408" s="373">
        <v>154</v>
      </c>
      <c r="B1408" s="374">
        <f>RasF!C120</f>
        <v>109</v>
      </c>
      <c r="C1408" s="374">
        <f>RasF!D120</f>
        <v>16200</v>
      </c>
      <c r="D1408" s="374">
        <f>RasF!E120</f>
        <v>14260</v>
      </c>
      <c r="E1408" s="374"/>
      <c r="F1408" s="374"/>
      <c r="G1408" s="375">
        <f t="shared" si="46"/>
        <v>4874.4799999999996</v>
      </c>
      <c r="H1408" s="375">
        <f t="shared" si="47"/>
        <v>0</v>
      </c>
      <c r="I1408" s="376"/>
    </row>
    <row r="1409" spans="1:9" x14ac:dyDescent="0.25">
      <c r="A1409" s="373">
        <v>154</v>
      </c>
      <c r="B1409" s="374">
        <f>RasF!C121</f>
        <v>110</v>
      </c>
      <c r="C1409" s="374">
        <f>RasF!D121</f>
        <v>117160</v>
      </c>
      <c r="D1409" s="374">
        <f>RasF!E121</f>
        <v>167168</v>
      </c>
      <c r="E1409" s="374"/>
      <c r="F1409" s="374"/>
      <c r="G1409" s="375">
        <f t="shared" si="46"/>
        <v>49664.56</v>
      </c>
      <c r="H1409" s="375">
        <f t="shared" si="47"/>
        <v>0</v>
      </c>
      <c r="I1409" s="376"/>
    </row>
    <row r="1410" spans="1:9" x14ac:dyDescent="0.25">
      <c r="A1410" s="373">
        <v>154</v>
      </c>
      <c r="B1410" s="374">
        <f>RasF!C122</f>
        <v>111</v>
      </c>
      <c r="C1410" s="374">
        <f>RasF!D122</f>
        <v>117160</v>
      </c>
      <c r="D1410" s="374">
        <f>RasF!E122</f>
        <v>167168</v>
      </c>
      <c r="E1410" s="374"/>
      <c r="F1410" s="374"/>
      <c r="G1410" s="375">
        <f t="shared" si="46"/>
        <v>50116.056000000004</v>
      </c>
      <c r="H1410" s="375">
        <f t="shared" si="47"/>
        <v>0</v>
      </c>
      <c r="I1410" s="376"/>
    </row>
    <row r="1411" spans="1:9" x14ac:dyDescent="0.25">
      <c r="A1411" s="373">
        <v>154</v>
      </c>
      <c r="B1411" s="374">
        <f>RasF!C123</f>
        <v>112</v>
      </c>
      <c r="C1411" s="374">
        <f>RasF!D123</f>
        <v>85746</v>
      </c>
      <c r="D1411" s="374">
        <f>RasF!E123</f>
        <v>136122</v>
      </c>
      <c r="E1411" s="374"/>
      <c r="F1411" s="374"/>
      <c r="G1411" s="375">
        <f t="shared" si="46"/>
        <v>40094.880000000005</v>
      </c>
      <c r="H1411" s="375">
        <f t="shared" si="47"/>
        <v>0</v>
      </c>
      <c r="I1411" s="376"/>
    </row>
    <row r="1412" spans="1:9" x14ac:dyDescent="0.25">
      <c r="A1412" s="373">
        <v>154</v>
      </c>
      <c r="B1412" s="374">
        <f>RasF!C124</f>
        <v>113</v>
      </c>
      <c r="C1412" s="374">
        <f>RasF!D124</f>
        <v>31414</v>
      </c>
      <c r="D1412" s="374">
        <f>RasF!E124</f>
        <v>31046</v>
      </c>
      <c r="E1412" s="374"/>
      <c r="F1412" s="374"/>
      <c r="G1412" s="375">
        <f t="shared" si="46"/>
        <v>10566.178</v>
      </c>
      <c r="H1412" s="375">
        <f t="shared" si="47"/>
        <v>0</v>
      </c>
      <c r="I1412" s="376"/>
    </row>
    <row r="1413" spans="1:9" x14ac:dyDescent="0.25">
      <c r="A1413" s="373">
        <v>154</v>
      </c>
      <c r="B1413" s="374">
        <f>RasF!C125</f>
        <v>114</v>
      </c>
      <c r="C1413" s="374">
        <f>RasF!D125</f>
        <v>0</v>
      </c>
      <c r="D1413" s="374">
        <f>RasF!E125</f>
        <v>0</v>
      </c>
      <c r="E1413" s="374"/>
      <c r="F1413" s="374"/>
      <c r="G1413" s="375">
        <f t="shared" si="46"/>
        <v>0</v>
      </c>
      <c r="H1413" s="375">
        <f t="shared" si="47"/>
        <v>0</v>
      </c>
      <c r="I1413" s="376"/>
    </row>
    <row r="1414" spans="1:9" x14ac:dyDescent="0.25">
      <c r="A1414" s="373">
        <v>154</v>
      </c>
      <c r="B1414" s="374">
        <f>RasF!C126</f>
        <v>115</v>
      </c>
      <c r="C1414" s="374">
        <f>RasF!D126</f>
        <v>0</v>
      </c>
      <c r="D1414" s="374">
        <f>RasF!E126</f>
        <v>0</v>
      </c>
      <c r="E1414" s="374"/>
      <c r="F1414" s="374"/>
      <c r="G1414" s="375">
        <f t="shared" si="46"/>
        <v>0</v>
      </c>
      <c r="H1414" s="375">
        <f t="shared" si="47"/>
        <v>0</v>
      </c>
      <c r="I1414" s="376"/>
    </row>
    <row r="1415" spans="1:9" x14ac:dyDescent="0.25">
      <c r="A1415" s="373">
        <v>154</v>
      </c>
      <c r="B1415" s="374">
        <f>RasF!C127</f>
        <v>116</v>
      </c>
      <c r="C1415" s="374">
        <f>RasF!D127</f>
        <v>0</v>
      </c>
      <c r="D1415" s="374">
        <f>RasF!E127</f>
        <v>0</v>
      </c>
      <c r="E1415" s="374"/>
      <c r="F1415" s="374"/>
      <c r="G1415" s="375">
        <f t="shared" si="46"/>
        <v>0</v>
      </c>
      <c r="H1415" s="375">
        <f t="shared" si="47"/>
        <v>0</v>
      </c>
      <c r="I1415" s="376"/>
    </row>
    <row r="1416" spans="1:9" x14ac:dyDescent="0.25">
      <c r="A1416" s="373">
        <v>154</v>
      </c>
      <c r="B1416" s="374">
        <f>RasF!C128</f>
        <v>117</v>
      </c>
      <c r="C1416" s="374">
        <f>RasF!D128</f>
        <v>0</v>
      </c>
      <c r="D1416" s="374">
        <f>RasF!E128</f>
        <v>0</v>
      </c>
      <c r="E1416" s="374"/>
      <c r="F1416" s="374"/>
      <c r="G1416" s="375">
        <f t="shared" si="46"/>
        <v>0</v>
      </c>
      <c r="H1416" s="375">
        <f t="shared" si="47"/>
        <v>0</v>
      </c>
      <c r="I1416" s="376"/>
    </row>
    <row r="1417" spans="1:9" x14ac:dyDescent="0.25">
      <c r="A1417" s="373">
        <v>154</v>
      </c>
      <c r="B1417" s="374">
        <f>RasF!C129</f>
        <v>118</v>
      </c>
      <c r="C1417" s="374">
        <f>RasF!D129</f>
        <v>0</v>
      </c>
      <c r="D1417" s="374">
        <f>RasF!E129</f>
        <v>0</v>
      </c>
      <c r="E1417" s="374"/>
      <c r="F1417" s="374"/>
      <c r="G1417" s="375">
        <f t="shared" si="46"/>
        <v>0</v>
      </c>
      <c r="H1417" s="375">
        <f t="shared" si="47"/>
        <v>0</v>
      </c>
      <c r="I1417" s="376"/>
    </row>
    <row r="1418" spans="1:9" x14ac:dyDescent="0.25">
      <c r="A1418" s="373">
        <v>154</v>
      </c>
      <c r="B1418" s="374">
        <f>RasF!C130</f>
        <v>119</v>
      </c>
      <c r="C1418" s="374">
        <f>RasF!D130</f>
        <v>0</v>
      </c>
      <c r="D1418" s="374">
        <f>RasF!E130</f>
        <v>0</v>
      </c>
      <c r="E1418" s="374"/>
      <c r="F1418" s="374"/>
      <c r="G1418" s="375">
        <f t="shared" si="46"/>
        <v>0</v>
      </c>
      <c r="H1418" s="375">
        <f t="shared" si="47"/>
        <v>0</v>
      </c>
      <c r="I1418" s="376"/>
    </row>
    <row r="1419" spans="1:9" x14ac:dyDescent="0.25">
      <c r="A1419" s="373">
        <v>154</v>
      </c>
      <c r="B1419" s="374">
        <f>RasF!C131</f>
        <v>120</v>
      </c>
      <c r="C1419" s="374">
        <f>RasF!D131</f>
        <v>0</v>
      </c>
      <c r="D1419" s="374">
        <f>RasF!E131</f>
        <v>0</v>
      </c>
      <c r="E1419" s="374"/>
      <c r="F1419" s="374"/>
      <c r="G1419" s="375">
        <f t="shared" si="46"/>
        <v>0</v>
      </c>
      <c r="H1419" s="375">
        <f t="shared" si="47"/>
        <v>0</v>
      </c>
      <c r="I1419" s="376"/>
    </row>
    <row r="1420" spans="1:9" x14ac:dyDescent="0.25">
      <c r="A1420" s="373">
        <v>154</v>
      </c>
      <c r="B1420" s="374">
        <f>RasF!C132</f>
        <v>121</v>
      </c>
      <c r="C1420" s="374">
        <f>RasF!D132</f>
        <v>0</v>
      </c>
      <c r="D1420" s="374">
        <f>RasF!E132</f>
        <v>0</v>
      </c>
      <c r="E1420" s="374"/>
      <c r="F1420" s="374"/>
      <c r="G1420" s="375">
        <f t="shared" si="46"/>
        <v>0</v>
      </c>
      <c r="H1420" s="375">
        <f t="shared" si="47"/>
        <v>0</v>
      </c>
      <c r="I1420" s="376"/>
    </row>
    <row r="1421" spans="1:9" x14ac:dyDescent="0.25">
      <c r="A1421" s="373">
        <v>154</v>
      </c>
      <c r="B1421" s="374">
        <f>RasF!C133</f>
        <v>122</v>
      </c>
      <c r="C1421" s="374">
        <f>RasF!D133</f>
        <v>0</v>
      </c>
      <c r="D1421" s="374">
        <f>RasF!E133</f>
        <v>0</v>
      </c>
      <c r="E1421" s="374"/>
      <c r="F1421" s="374"/>
      <c r="G1421" s="375">
        <f t="shared" si="46"/>
        <v>0</v>
      </c>
      <c r="H1421" s="375">
        <f t="shared" si="47"/>
        <v>0</v>
      </c>
      <c r="I1421" s="376"/>
    </row>
    <row r="1422" spans="1:9" x14ac:dyDescent="0.25">
      <c r="A1422" s="373">
        <v>154</v>
      </c>
      <c r="B1422" s="374">
        <f>RasF!C134</f>
        <v>123</v>
      </c>
      <c r="C1422" s="374">
        <f>RasF!D134</f>
        <v>0</v>
      </c>
      <c r="D1422" s="374">
        <f>RasF!E134</f>
        <v>0</v>
      </c>
      <c r="E1422" s="374"/>
      <c r="F1422" s="374"/>
      <c r="G1422" s="375">
        <f t="shared" si="46"/>
        <v>0</v>
      </c>
      <c r="H1422" s="375">
        <f t="shared" si="47"/>
        <v>0</v>
      </c>
      <c r="I1422" s="376"/>
    </row>
    <row r="1423" spans="1:9" x14ac:dyDescent="0.25">
      <c r="A1423" s="373">
        <v>154</v>
      </c>
      <c r="B1423" s="374">
        <f>RasF!C135</f>
        <v>124</v>
      </c>
      <c r="C1423" s="374">
        <f>RasF!D135</f>
        <v>0</v>
      </c>
      <c r="D1423" s="374">
        <f>RasF!E135</f>
        <v>0</v>
      </c>
      <c r="E1423" s="374"/>
      <c r="F1423" s="374"/>
      <c r="G1423" s="375">
        <f t="shared" si="46"/>
        <v>0</v>
      </c>
      <c r="H1423" s="375">
        <f t="shared" si="47"/>
        <v>0</v>
      </c>
      <c r="I1423" s="376"/>
    </row>
    <row r="1424" spans="1:9" x14ac:dyDescent="0.25">
      <c r="A1424" s="373">
        <v>154</v>
      </c>
      <c r="B1424" s="374">
        <f>RasF!C136</f>
        <v>125</v>
      </c>
      <c r="C1424" s="374">
        <f>RasF!D136</f>
        <v>221942</v>
      </c>
      <c r="D1424" s="374">
        <f>RasF!E136</f>
        <v>218504</v>
      </c>
      <c r="E1424" s="374"/>
      <c r="F1424" s="374"/>
      <c r="G1424" s="375">
        <f t="shared" si="46"/>
        <v>82368.75</v>
      </c>
      <c r="H1424" s="375">
        <f t="shared" si="47"/>
        <v>0</v>
      </c>
      <c r="I1424" s="376"/>
    </row>
    <row r="1425" spans="1:9" x14ac:dyDescent="0.25">
      <c r="A1425" s="373">
        <v>154</v>
      </c>
      <c r="B1425" s="374">
        <f>RasF!C137</f>
        <v>126</v>
      </c>
      <c r="C1425" s="374">
        <f>RasF!D137</f>
        <v>0</v>
      </c>
      <c r="D1425" s="374">
        <f>RasF!E137</f>
        <v>0</v>
      </c>
      <c r="E1425" s="374"/>
      <c r="F1425" s="374"/>
      <c r="G1425" s="375">
        <f t="shared" si="46"/>
        <v>0</v>
      </c>
      <c r="H1425" s="375">
        <f t="shared" si="47"/>
        <v>0</v>
      </c>
      <c r="I1425" s="376"/>
    </row>
    <row r="1426" spans="1:9" x14ac:dyDescent="0.25">
      <c r="A1426" s="373">
        <v>154</v>
      </c>
      <c r="B1426" s="374">
        <f>RasF!C138</f>
        <v>127</v>
      </c>
      <c r="C1426" s="374">
        <f>RasF!D138</f>
        <v>0</v>
      </c>
      <c r="D1426" s="374">
        <f>RasF!E138</f>
        <v>0</v>
      </c>
      <c r="E1426" s="374"/>
      <c r="F1426" s="374"/>
      <c r="G1426" s="375">
        <f t="shared" si="46"/>
        <v>0</v>
      </c>
      <c r="H1426" s="375">
        <f t="shared" si="47"/>
        <v>0</v>
      </c>
      <c r="I1426" s="376"/>
    </row>
    <row r="1427" spans="1:9" x14ac:dyDescent="0.25">
      <c r="A1427" s="373">
        <v>154</v>
      </c>
      <c r="B1427" s="374">
        <f>RasF!C139</f>
        <v>128</v>
      </c>
      <c r="C1427" s="374">
        <f>RasF!D139</f>
        <v>0</v>
      </c>
      <c r="D1427" s="374">
        <f>RasF!E139</f>
        <v>0</v>
      </c>
      <c r="E1427" s="374"/>
      <c r="F1427" s="374"/>
      <c r="G1427" s="375">
        <f t="shared" si="46"/>
        <v>0</v>
      </c>
      <c r="H1427" s="375">
        <f t="shared" si="47"/>
        <v>0</v>
      </c>
      <c r="I1427" s="376"/>
    </row>
    <row r="1428" spans="1:9" x14ac:dyDescent="0.25">
      <c r="A1428" s="373">
        <v>154</v>
      </c>
      <c r="B1428" s="374">
        <f>RasF!C140</f>
        <v>129</v>
      </c>
      <c r="C1428" s="374">
        <f>RasF!D140</f>
        <v>0</v>
      </c>
      <c r="D1428" s="374">
        <f>RasF!E140</f>
        <v>0</v>
      </c>
      <c r="E1428" s="374"/>
      <c r="F1428" s="374"/>
      <c r="G1428" s="375">
        <f t="shared" si="46"/>
        <v>0</v>
      </c>
      <c r="H1428" s="375">
        <f t="shared" si="47"/>
        <v>0</v>
      </c>
      <c r="I1428" s="376"/>
    </row>
    <row r="1429" spans="1:9" x14ac:dyDescent="0.25">
      <c r="A1429" s="373">
        <v>154</v>
      </c>
      <c r="B1429" s="374">
        <f>RasF!C141</f>
        <v>130</v>
      </c>
      <c r="C1429" s="374">
        <f>RasF!D141</f>
        <v>0</v>
      </c>
      <c r="D1429" s="374">
        <f>RasF!E141</f>
        <v>0</v>
      </c>
      <c r="E1429" s="374"/>
      <c r="F1429" s="374"/>
      <c r="G1429" s="375">
        <f t="shared" si="46"/>
        <v>0</v>
      </c>
      <c r="H1429" s="375">
        <f t="shared" si="47"/>
        <v>0</v>
      </c>
      <c r="I1429" s="376"/>
    </row>
    <row r="1430" spans="1:9" x14ac:dyDescent="0.25">
      <c r="A1430" s="373">
        <v>154</v>
      </c>
      <c r="B1430" s="374">
        <f>RasF!C142</f>
        <v>131</v>
      </c>
      <c r="C1430" s="374">
        <f>RasF!D142</f>
        <v>0</v>
      </c>
      <c r="D1430" s="374">
        <f>RasF!E142</f>
        <v>0</v>
      </c>
      <c r="E1430" s="374"/>
      <c r="F1430" s="374"/>
      <c r="G1430" s="375">
        <f t="shared" ref="G1430:G1436" si="48">B1430/1000*C1430+B1430/500*D1430</f>
        <v>0</v>
      </c>
      <c r="H1430" s="375">
        <f t="shared" ref="H1430:H1436" si="49">ABS(C1430-ROUND(C1430,0))+ABS(D1430-ROUND(D1430,0))</f>
        <v>0</v>
      </c>
      <c r="I1430" s="376"/>
    </row>
    <row r="1431" spans="1:9" x14ac:dyDescent="0.25">
      <c r="A1431" s="373">
        <v>154</v>
      </c>
      <c r="B1431" s="374">
        <f>RasF!C143</f>
        <v>132</v>
      </c>
      <c r="C1431" s="374">
        <f>RasF!D143</f>
        <v>0</v>
      </c>
      <c r="D1431" s="374">
        <f>RasF!E143</f>
        <v>0</v>
      </c>
      <c r="E1431" s="374"/>
      <c r="F1431" s="374"/>
      <c r="G1431" s="375">
        <f t="shared" si="48"/>
        <v>0</v>
      </c>
      <c r="H1431" s="375">
        <f t="shared" si="49"/>
        <v>0</v>
      </c>
      <c r="I1431" s="376"/>
    </row>
    <row r="1432" spans="1:9" x14ac:dyDescent="0.25">
      <c r="A1432" s="373">
        <v>154</v>
      </c>
      <c r="B1432" s="374">
        <f>RasF!C144</f>
        <v>133</v>
      </c>
      <c r="C1432" s="374">
        <f>RasF!D144</f>
        <v>0</v>
      </c>
      <c r="D1432" s="374">
        <f>RasF!E144</f>
        <v>0</v>
      </c>
      <c r="E1432" s="374"/>
      <c r="F1432" s="374"/>
      <c r="G1432" s="375">
        <f t="shared" si="48"/>
        <v>0</v>
      </c>
      <c r="H1432" s="375">
        <f t="shared" si="49"/>
        <v>0</v>
      </c>
      <c r="I1432" s="376"/>
    </row>
    <row r="1433" spans="1:9" x14ac:dyDescent="0.25">
      <c r="A1433" s="373">
        <v>154</v>
      </c>
      <c r="B1433" s="374">
        <f>RasF!C145</f>
        <v>134</v>
      </c>
      <c r="C1433" s="374">
        <f>RasF!D145</f>
        <v>221942</v>
      </c>
      <c r="D1433" s="374">
        <f>RasF!E145</f>
        <v>218504</v>
      </c>
      <c r="E1433" s="374"/>
      <c r="F1433" s="374"/>
      <c r="G1433" s="375">
        <f t="shared" si="48"/>
        <v>88299.3</v>
      </c>
      <c r="H1433" s="375">
        <f t="shared" si="49"/>
        <v>0</v>
      </c>
      <c r="I1433" s="376"/>
    </row>
    <row r="1434" spans="1:9" x14ac:dyDescent="0.25">
      <c r="A1434" s="373">
        <v>154</v>
      </c>
      <c r="B1434" s="374">
        <f>RasF!C146</f>
        <v>135</v>
      </c>
      <c r="C1434" s="374">
        <f>RasF!D146</f>
        <v>0</v>
      </c>
      <c r="D1434" s="374">
        <f>RasF!E146</f>
        <v>0</v>
      </c>
      <c r="E1434" s="374"/>
      <c r="F1434" s="374"/>
      <c r="G1434" s="375">
        <f t="shared" si="48"/>
        <v>0</v>
      </c>
      <c r="H1434" s="375">
        <f t="shared" si="49"/>
        <v>0</v>
      </c>
      <c r="I1434" s="376"/>
    </row>
    <row r="1435" spans="1:9" x14ac:dyDescent="0.25">
      <c r="A1435" s="373">
        <v>154</v>
      </c>
      <c r="B1435" s="374">
        <f>RasF!C147</f>
        <v>136</v>
      </c>
      <c r="C1435" s="374">
        <f>RasF!D147</f>
        <v>0</v>
      </c>
      <c r="D1435" s="374">
        <f>RasF!E147</f>
        <v>0</v>
      </c>
      <c r="E1435" s="374"/>
      <c r="F1435" s="374"/>
      <c r="G1435" s="375">
        <f t="shared" si="48"/>
        <v>0</v>
      </c>
      <c r="H1435" s="375">
        <f t="shared" si="49"/>
        <v>0</v>
      </c>
      <c r="I1435" s="376"/>
    </row>
    <row r="1436" spans="1:9" x14ac:dyDescent="0.25">
      <c r="A1436" s="391">
        <v>154</v>
      </c>
      <c r="B1436" s="392">
        <f>RasF!C148</f>
        <v>137</v>
      </c>
      <c r="C1436" s="392">
        <f>RasF!D148</f>
        <v>2989420</v>
      </c>
      <c r="D1436" s="392">
        <f>RasF!E148</f>
        <v>3329440</v>
      </c>
      <c r="E1436" s="392"/>
      <c r="F1436" s="392"/>
      <c r="G1436" s="393">
        <f t="shared" si="48"/>
        <v>1321817.1000000001</v>
      </c>
      <c r="H1436" s="393">
        <f t="shared" si="49"/>
        <v>0</v>
      </c>
      <c r="I1436" s="394"/>
    </row>
    <row r="1437" spans="1:9" x14ac:dyDescent="0.25">
      <c r="A1437" s="383">
        <v>156</v>
      </c>
      <c r="B1437" s="384">
        <f>PVRIO!C12</f>
        <v>1</v>
      </c>
      <c r="C1437" s="395">
        <f>PVRIO!D12</f>
        <v>0</v>
      </c>
      <c r="D1437" s="395">
        <f>PVRIO!E12</f>
        <v>0</v>
      </c>
      <c r="E1437" s="395"/>
      <c r="F1437" s="395"/>
      <c r="G1437" s="385">
        <f>B1437/1000*C1437+B1437/500*D1437</f>
        <v>0</v>
      </c>
      <c r="H1437" s="385">
        <f>ABS(C1437-ROUND(C1437,0))+ABS(D1437-ROUND(D1437,0))</f>
        <v>0</v>
      </c>
      <c r="I1437" s="386">
        <v>0</v>
      </c>
    </row>
    <row r="1438" spans="1:9" x14ac:dyDescent="0.25">
      <c r="A1438" s="373">
        <v>156</v>
      </c>
      <c r="B1438" s="374">
        <f>PVRIO!C13</f>
        <v>2</v>
      </c>
      <c r="C1438" s="381">
        <f>PVRIO!D13</f>
        <v>0</v>
      </c>
      <c r="D1438" s="381">
        <f>PVRIO!E13</f>
        <v>0</v>
      </c>
      <c r="E1438" s="381"/>
      <c r="F1438" s="381"/>
      <c r="G1438" s="375">
        <f>B1438/1000*C1438+B1438/500*D1438</f>
        <v>0</v>
      </c>
      <c r="H1438" s="375">
        <f>ABS(C1438-ROUND(C1438,0))+ABS(D1438-ROUND(D1438,0))</f>
        <v>0</v>
      </c>
      <c r="I1438" s="376">
        <v>0</v>
      </c>
    </row>
    <row r="1439" spans="1:9" x14ac:dyDescent="0.25">
      <c r="A1439" s="373">
        <v>156</v>
      </c>
      <c r="B1439" s="374">
        <f>PVRIO!C14</f>
        <v>3</v>
      </c>
      <c r="C1439" s="381">
        <f>PVRIO!D14</f>
        <v>0</v>
      </c>
      <c r="D1439" s="381">
        <f>PVRIO!E14</f>
        <v>0</v>
      </c>
      <c r="E1439" s="381"/>
      <c r="F1439" s="381"/>
      <c r="G1439" s="375">
        <f>B1439/1000*C1439+B1439/500*D1439</f>
        <v>0</v>
      </c>
      <c r="H1439" s="375">
        <f>ABS(C1439-ROUND(C1439,0))+ABS(D1439-ROUND(D1439,0))</f>
        <v>0</v>
      </c>
      <c r="I1439" s="376">
        <v>0</v>
      </c>
    </row>
    <row r="1440" spans="1:9" x14ac:dyDescent="0.25">
      <c r="A1440" s="373">
        <v>156</v>
      </c>
      <c r="B1440" s="374">
        <f>PVRIO!C15</f>
        <v>4</v>
      </c>
      <c r="C1440" s="381">
        <f>PVRIO!D15</f>
        <v>0</v>
      </c>
      <c r="D1440" s="381">
        <f>PVRIO!E15</f>
        <v>0</v>
      </c>
      <c r="E1440" s="381"/>
      <c r="F1440" s="381"/>
      <c r="G1440" s="375">
        <f>B1440/1000*C1440+B1440/500*D1440</f>
        <v>0</v>
      </c>
      <c r="H1440" s="375">
        <f>ABS(C1440-ROUND(C1440,0))+ABS(D1440-ROUND(D1440,0))</f>
        <v>0</v>
      </c>
      <c r="I1440" s="376">
        <f t="shared" ref="I1440:I1480" si="50">G1440*H1440</f>
        <v>0</v>
      </c>
    </row>
    <row r="1441" spans="1:9" x14ac:dyDescent="0.25">
      <c r="A1441" s="373">
        <v>156</v>
      </c>
      <c r="B1441" s="374">
        <f>PVRIO!C16</f>
        <v>5</v>
      </c>
      <c r="C1441" s="381">
        <f>PVRIO!D16</f>
        <v>0</v>
      </c>
      <c r="D1441" s="381">
        <f>PVRIO!E16</f>
        <v>0</v>
      </c>
      <c r="E1441" s="381"/>
      <c r="F1441" s="381"/>
      <c r="G1441" s="375">
        <f t="shared" ref="G1441:G1480" si="51">B1441/1000*C1441+B1441/500*D1441</f>
        <v>0</v>
      </c>
      <c r="H1441" s="375">
        <f t="shared" ref="H1441:H1480" si="52">ABS(C1441-ROUND(C1441,0))+ABS(D1441-ROUND(D1441,0))</f>
        <v>0</v>
      </c>
      <c r="I1441" s="376">
        <f t="shared" si="50"/>
        <v>0</v>
      </c>
    </row>
    <row r="1442" spans="1:9" x14ac:dyDescent="0.25">
      <c r="A1442" s="373">
        <v>156</v>
      </c>
      <c r="B1442" s="374">
        <f>PVRIO!C17</f>
        <v>6</v>
      </c>
      <c r="C1442" s="381">
        <f>PVRIO!D17</f>
        <v>0</v>
      </c>
      <c r="D1442" s="381">
        <f>PVRIO!E17</f>
        <v>0</v>
      </c>
      <c r="E1442" s="381"/>
      <c r="F1442" s="381"/>
      <c r="G1442" s="375">
        <f t="shared" si="51"/>
        <v>0</v>
      </c>
      <c r="H1442" s="375">
        <f t="shared" si="52"/>
        <v>0</v>
      </c>
      <c r="I1442" s="376">
        <f t="shared" si="50"/>
        <v>0</v>
      </c>
    </row>
    <row r="1443" spans="1:9" x14ac:dyDescent="0.25">
      <c r="A1443" s="373">
        <v>156</v>
      </c>
      <c r="B1443" s="374">
        <f>PVRIO!C18</f>
        <v>7</v>
      </c>
      <c r="C1443" s="381">
        <f>PVRIO!D18</f>
        <v>0</v>
      </c>
      <c r="D1443" s="381">
        <f>PVRIO!E18</f>
        <v>0</v>
      </c>
      <c r="E1443" s="381"/>
      <c r="F1443" s="381"/>
      <c r="G1443" s="375">
        <f t="shared" si="51"/>
        <v>0</v>
      </c>
      <c r="H1443" s="375">
        <f t="shared" si="52"/>
        <v>0</v>
      </c>
      <c r="I1443" s="376">
        <f t="shared" si="50"/>
        <v>0</v>
      </c>
    </row>
    <row r="1444" spans="1:9" x14ac:dyDescent="0.25">
      <c r="A1444" s="373">
        <v>156</v>
      </c>
      <c r="B1444" s="374">
        <f>PVRIO!C19</f>
        <v>8</v>
      </c>
      <c r="C1444" s="381">
        <f>PVRIO!D19</f>
        <v>0</v>
      </c>
      <c r="D1444" s="381">
        <f>PVRIO!E19</f>
        <v>0</v>
      </c>
      <c r="E1444" s="381"/>
      <c r="F1444" s="381"/>
      <c r="G1444" s="375">
        <f t="shared" si="51"/>
        <v>0</v>
      </c>
      <c r="H1444" s="375">
        <f t="shared" si="52"/>
        <v>0</v>
      </c>
      <c r="I1444" s="376">
        <f t="shared" si="50"/>
        <v>0</v>
      </c>
    </row>
    <row r="1445" spans="1:9" x14ac:dyDescent="0.25">
      <c r="A1445" s="373">
        <v>156</v>
      </c>
      <c r="B1445" s="374">
        <f>PVRIO!C20</f>
        <v>9</v>
      </c>
      <c r="C1445" s="381">
        <f>PVRIO!D20</f>
        <v>0</v>
      </c>
      <c r="D1445" s="381">
        <f>PVRIO!E20</f>
        <v>0</v>
      </c>
      <c r="E1445" s="381"/>
      <c r="F1445" s="381"/>
      <c r="G1445" s="375">
        <f t="shared" si="51"/>
        <v>0</v>
      </c>
      <c r="H1445" s="375">
        <f t="shared" si="52"/>
        <v>0</v>
      </c>
      <c r="I1445" s="376">
        <f t="shared" si="50"/>
        <v>0</v>
      </c>
    </row>
    <row r="1446" spans="1:9" x14ac:dyDescent="0.25">
      <c r="A1446" s="373">
        <v>156</v>
      </c>
      <c r="B1446" s="374">
        <f>PVRIO!C21</f>
        <v>10</v>
      </c>
      <c r="C1446" s="381">
        <f>PVRIO!D21</f>
        <v>0</v>
      </c>
      <c r="D1446" s="381">
        <f>PVRIO!E21</f>
        <v>0</v>
      </c>
      <c r="E1446" s="381"/>
      <c r="F1446" s="381"/>
      <c r="G1446" s="375">
        <f t="shared" si="51"/>
        <v>0</v>
      </c>
      <c r="H1446" s="375">
        <f t="shared" si="52"/>
        <v>0</v>
      </c>
      <c r="I1446" s="376">
        <v>0</v>
      </c>
    </row>
    <row r="1447" spans="1:9" x14ac:dyDescent="0.25">
      <c r="A1447" s="373">
        <v>156</v>
      </c>
      <c r="B1447" s="374">
        <f>PVRIO!C22</f>
        <v>11</v>
      </c>
      <c r="C1447" s="381">
        <f>PVRIO!D22</f>
        <v>0</v>
      </c>
      <c r="D1447" s="381">
        <f>PVRIO!E22</f>
        <v>0</v>
      </c>
      <c r="E1447" s="381"/>
      <c r="F1447" s="381"/>
      <c r="G1447" s="375">
        <f t="shared" si="51"/>
        <v>0</v>
      </c>
      <c r="H1447" s="375">
        <f t="shared" si="52"/>
        <v>0</v>
      </c>
      <c r="I1447" s="376">
        <f t="shared" si="50"/>
        <v>0</v>
      </c>
    </row>
    <row r="1448" spans="1:9" x14ac:dyDescent="0.25">
      <c r="A1448" s="373">
        <v>156</v>
      </c>
      <c r="B1448" s="374">
        <f>PVRIO!C23</f>
        <v>12</v>
      </c>
      <c r="C1448" s="381">
        <f>PVRIO!D23</f>
        <v>0</v>
      </c>
      <c r="D1448" s="381">
        <f>PVRIO!E23</f>
        <v>0</v>
      </c>
      <c r="E1448" s="381"/>
      <c r="F1448" s="381"/>
      <c r="G1448" s="375">
        <f t="shared" si="51"/>
        <v>0</v>
      </c>
      <c r="H1448" s="375">
        <f t="shared" si="52"/>
        <v>0</v>
      </c>
      <c r="I1448" s="376">
        <f t="shared" si="50"/>
        <v>0</v>
      </c>
    </row>
    <row r="1449" spans="1:9" x14ac:dyDescent="0.25">
      <c r="A1449" s="373">
        <v>156</v>
      </c>
      <c r="B1449" s="374">
        <f>PVRIO!C24</f>
        <v>13</v>
      </c>
      <c r="C1449" s="381">
        <f>PVRIO!D24</f>
        <v>0</v>
      </c>
      <c r="D1449" s="381">
        <f>PVRIO!E24</f>
        <v>0</v>
      </c>
      <c r="E1449" s="381"/>
      <c r="F1449" s="381"/>
      <c r="G1449" s="375">
        <f t="shared" si="51"/>
        <v>0</v>
      </c>
      <c r="H1449" s="375">
        <f t="shared" si="52"/>
        <v>0</v>
      </c>
      <c r="I1449" s="376">
        <f t="shared" si="50"/>
        <v>0</v>
      </c>
    </row>
    <row r="1450" spans="1:9" x14ac:dyDescent="0.25">
      <c r="A1450" s="373">
        <v>156</v>
      </c>
      <c r="B1450" s="374">
        <f>PVRIO!C25</f>
        <v>14</v>
      </c>
      <c r="C1450" s="381">
        <f>PVRIO!D25</f>
        <v>0</v>
      </c>
      <c r="D1450" s="381">
        <f>PVRIO!E25</f>
        <v>0</v>
      </c>
      <c r="E1450" s="381"/>
      <c r="F1450" s="381"/>
      <c r="G1450" s="375">
        <f t="shared" si="51"/>
        <v>0</v>
      </c>
      <c r="H1450" s="375">
        <f t="shared" si="52"/>
        <v>0</v>
      </c>
      <c r="I1450" s="376">
        <f t="shared" si="50"/>
        <v>0</v>
      </c>
    </row>
    <row r="1451" spans="1:9" x14ac:dyDescent="0.25">
      <c r="A1451" s="373">
        <v>156</v>
      </c>
      <c r="B1451" s="374">
        <f>PVRIO!C26</f>
        <v>15</v>
      </c>
      <c r="C1451" s="381">
        <f>PVRIO!D26</f>
        <v>0</v>
      </c>
      <c r="D1451" s="381">
        <f>PVRIO!E26</f>
        <v>0</v>
      </c>
      <c r="E1451" s="381"/>
      <c r="F1451" s="381"/>
      <c r="G1451" s="375">
        <f t="shared" si="51"/>
        <v>0</v>
      </c>
      <c r="H1451" s="375">
        <f t="shared" si="52"/>
        <v>0</v>
      </c>
      <c r="I1451" s="376">
        <f t="shared" si="50"/>
        <v>0</v>
      </c>
    </row>
    <row r="1452" spans="1:9" x14ac:dyDescent="0.25">
      <c r="A1452" s="373">
        <v>156</v>
      </c>
      <c r="B1452" s="374">
        <f>PVRIO!C27</f>
        <v>16</v>
      </c>
      <c r="C1452" s="381">
        <f>PVRIO!D27</f>
        <v>0</v>
      </c>
      <c r="D1452" s="381">
        <f>PVRIO!E27</f>
        <v>0</v>
      </c>
      <c r="E1452" s="381"/>
      <c r="F1452" s="381"/>
      <c r="G1452" s="375">
        <f t="shared" si="51"/>
        <v>0</v>
      </c>
      <c r="H1452" s="375">
        <f t="shared" si="52"/>
        <v>0</v>
      </c>
      <c r="I1452" s="376">
        <f t="shared" si="50"/>
        <v>0</v>
      </c>
    </row>
    <row r="1453" spans="1:9" x14ac:dyDescent="0.25">
      <c r="A1453" s="373">
        <v>156</v>
      </c>
      <c r="B1453" s="374">
        <f>PVRIO!C28</f>
        <v>17</v>
      </c>
      <c r="C1453" s="381">
        <f>PVRIO!D28</f>
        <v>0</v>
      </c>
      <c r="D1453" s="381">
        <f>PVRIO!E28</f>
        <v>0</v>
      </c>
      <c r="E1453" s="381"/>
      <c r="F1453" s="381"/>
      <c r="G1453" s="375">
        <f t="shared" si="51"/>
        <v>0</v>
      </c>
      <c r="H1453" s="375">
        <f t="shared" si="52"/>
        <v>0</v>
      </c>
      <c r="I1453" s="376">
        <f t="shared" si="50"/>
        <v>0</v>
      </c>
    </row>
    <row r="1454" spans="1:9" x14ac:dyDescent="0.25">
      <c r="A1454" s="373">
        <v>156</v>
      </c>
      <c r="B1454" s="374">
        <f>PVRIO!C29</f>
        <v>18</v>
      </c>
      <c r="C1454" s="381">
        <f>PVRIO!D29</f>
        <v>0</v>
      </c>
      <c r="D1454" s="381">
        <f>PVRIO!E29</f>
        <v>0</v>
      </c>
      <c r="E1454" s="381"/>
      <c r="F1454" s="381"/>
      <c r="G1454" s="375">
        <f t="shared" si="51"/>
        <v>0</v>
      </c>
      <c r="H1454" s="375">
        <f t="shared" si="52"/>
        <v>0</v>
      </c>
      <c r="I1454" s="376">
        <v>0</v>
      </c>
    </row>
    <row r="1455" spans="1:9" x14ac:dyDescent="0.25">
      <c r="A1455" s="373">
        <v>156</v>
      </c>
      <c r="B1455" s="374">
        <f>PVRIO!C30</f>
        <v>19</v>
      </c>
      <c r="C1455" s="381">
        <f>PVRIO!D30</f>
        <v>0</v>
      </c>
      <c r="D1455" s="381">
        <f>PVRIO!E30</f>
        <v>0</v>
      </c>
      <c r="E1455" s="381"/>
      <c r="F1455" s="381"/>
      <c r="G1455" s="375">
        <f t="shared" si="51"/>
        <v>0</v>
      </c>
      <c r="H1455" s="375">
        <f t="shared" si="52"/>
        <v>0</v>
      </c>
      <c r="I1455" s="376">
        <v>0</v>
      </c>
    </row>
    <row r="1456" spans="1:9" x14ac:dyDescent="0.25">
      <c r="A1456" s="373">
        <v>156</v>
      </c>
      <c r="B1456" s="374">
        <f>PVRIO!C31</f>
        <v>20</v>
      </c>
      <c r="C1456" s="381">
        <f>PVRIO!D31</f>
        <v>0</v>
      </c>
      <c r="D1456" s="381">
        <f>PVRIO!E31</f>
        <v>0</v>
      </c>
      <c r="E1456" s="381"/>
      <c r="F1456" s="381"/>
      <c r="G1456" s="375">
        <f t="shared" si="51"/>
        <v>0</v>
      </c>
      <c r="H1456" s="375">
        <f t="shared" si="52"/>
        <v>0</v>
      </c>
      <c r="I1456" s="376">
        <f t="shared" si="50"/>
        <v>0</v>
      </c>
    </row>
    <row r="1457" spans="1:9" x14ac:dyDescent="0.25">
      <c r="A1457" s="373">
        <v>156</v>
      </c>
      <c r="B1457" s="374">
        <f>PVRIO!C32</f>
        <v>21</v>
      </c>
      <c r="C1457" s="381">
        <f>PVRIO!D32</f>
        <v>0</v>
      </c>
      <c r="D1457" s="381">
        <f>PVRIO!E32</f>
        <v>0</v>
      </c>
      <c r="E1457" s="381"/>
      <c r="F1457" s="381"/>
      <c r="G1457" s="375">
        <f t="shared" si="51"/>
        <v>0</v>
      </c>
      <c r="H1457" s="375">
        <f t="shared" si="52"/>
        <v>0</v>
      </c>
      <c r="I1457" s="376">
        <f t="shared" si="50"/>
        <v>0</v>
      </c>
    </row>
    <row r="1458" spans="1:9" x14ac:dyDescent="0.25">
      <c r="A1458" s="373">
        <v>156</v>
      </c>
      <c r="B1458" s="374">
        <f>PVRIO!C33</f>
        <v>22</v>
      </c>
      <c r="C1458" s="381">
        <f>PVRIO!D33</f>
        <v>0</v>
      </c>
      <c r="D1458" s="381">
        <f>PVRIO!E33</f>
        <v>0</v>
      </c>
      <c r="E1458" s="381"/>
      <c r="F1458" s="381"/>
      <c r="G1458" s="375">
        <f t="shared" si="51"/>
        <v>0</v>
      </c>
      <c r="H1458" s="375">
        <f t="shared" si="52"/>
        <v>0</v>
      </c>
      <c r="I1458" s="376">
        <f t="shared" si="50"/>
        <v>0</v>
      </c>
    </row>
    <row r="1459" spans="1:9" x14ac:dyDescent="0.25">
      <c r="A1459" s="373">
        <v>156</v>
      </c>
      <c r="B1459" s="374">
        <f>PVRIO!C34</f>
        <v>23</v>
      </c>
      <c r="C1459" s="381">
        <f>PVRIO!D34</f>
        <v>0</v>
      </c>
      <c r="D1459" s="381">
        <f>PVRIO!E34</f>
        <v>0</v>
      </c>
      <c r="E1459" s="381"/>
      <c r="F1459" s="381"/>
      <c r="G1459" s="375">
        <f t="shared" si="51"/>
        <v>0</v>
      </c>
      <c r="H1459" s="375">
        <f t="shared" si="52"/>
        <v>0</v>
      </c>
      <c r="I1459" s="376">
        <f t="shared" si="50"/>
        <v>0</v>
      </c>
    </row>
    <row r="1460" spans="1:9" x14ac:dyDescent="0.25">
      <c r="A1460" s="373">
        <v>156</v>
      </c>
      <c r="B1460" s="374">
        <f>PVRIO!C35</f>
        <v>24</v>
      </c>
      <c r="C1460" s="381">
        <f>PVRIO!D35</f>
        <v>0</v>
      </c>
      <c r="D1460" s="381">
        <f>PVRIO!E35</f>
        <v>0</v>
      </c>
      <c r="E1460" s="381"/>
      <c r="F1460" s="381"/>
      <c r="G1460" s="375">
        <f t="shared" si="51"/>
        <v>0</v>
      </c>
      <c r="H1460" s="375">
        <f t="shared" si="52"/>
        <v>0</v>
      </c>
      <c r="I1460" s="376">
        <f t="shared" si="50"/>
        <v>0</v>
      </c>
    </row>
    <row r="1461" spans="1:9" x14ac:dyDescent="0.25">
      <c r="A1461" s="373">
        <v>156</v>
      </c>
      <c r="B1461" s="374">
        <f>PVRIO!C36</f>
        <v>25</v>
      </c>
      <c r="C1461" s="381">
        <f>PVRIO!D36</f>
        <v>0</v>
      </c>
      <c r="D1461" s="381">
        <f>PVRIO!E36</f>
        <v>0</v>
      </c>
      <c r="E1461" s="381"/>
      <c r="F1461" s="381"/>
      <c r="G1461" s="375">
        <f t="shared" si="51"/>
        <v>0</v>
      </c>
      <c r="H1461" s="375">
        <f t="shared" si="52"/>
        <v>0</v>
      </c>
      <c r="I1461" s="376">
        <f t="shared" si="50"/>
        <v>0</v>
      </c>
    </row>
    <row r="1462" spans="1:9" x14ac:dyDescent="0.25">
      <c r="A1462" s="373">
        <v>156</v>
      </c>
      <c r="B1462" s="374">
        <f>PVRIO!C37</f>
        <v>26</v>
      </c>
      <c r="C1462" s="381">
        <f>PVRIO!D37</f>
        <v>0</v>
      </c>
      <c r="D1462" s="381">
        <f>PVRIO!E37</f>
        <v>0</v>
      </c>
      <c r="E1462" s="381"/>
      <c r="F1462" s="381"/>
      <c r="G1462" s="375">
        <f t="shared" si="51"/>
        <v>0</v>
      </c>
      <c r="H1462" s="375">
        <f t="shared" si="52"/>
        <v>0</v>
      </c>
      <c r="I1462" s="376">
        <v>0</v>
      </c>
    </row>
    <row r="1463" spans="1:9" x14ac:dyDescent="0.25">
      <c r="A1463" s="373">
        <v>156</v>
      </c>
      <c r="B1463" s="374">
        <f>PVRIO!C38</f>
        <v>27</v>
      </c>
      <c r="C1463" s="381">
        <f>PVRIO!D38</f>
        <v>0</v>
      </c>
      <c r="D1463" s="381">
        <f>PVRIO!E38</f>
        <v>0</v>
      </c>
      <c r="E1463" s="381"/>
      <c r="F1463" s="381"/>
      <c r="G1463" s="375">
        <f t="shared" si="51"/>
        <v>0</v>
      </c>
      <c r="H1463" s="375">
        <f t="shared" si="52"/>
        <v>0</v>
      </c>
      <c r="I1463" s="376">
        <f t="shared" si="50"/>
        <v>0</v>
      </c>
    </row>
    <row r="1464" spans="1:9" x14ac:dyDescent="0.25">
      <c r="A1464" s="373">
        <v>156</v>
      </c>
      <c r="B1464" s="374">
        <f>PVRIO!C39</f>
        <v>28</v>
      </c>
      <c r="C1464" s="381">
        <f>PVRIO!D39</f>
        <v>0</v>
      </c>
      <c r="D1464" s="381">
        <f>PVRIO!E39</f>
        <v>0</v>
      </c>
      <c r="E1464" s="381"/>
      <c r="F1464" s="381"/>
      <c r="G1464" s="375">
        <f t="shared" si="51"/>
        <v>0</v>
      </c>
      <c r="H1464" s="375">
        <f t="shared" si="52"/>
        <v>0</v>
      </c>
      <c r="I1464" s="376">
        <f t="shared" si="50"/>
        <v>0</v>
      </c>
    </row>
    <row r="1465" spans="1:9" x14ac:dyDescent="0.25">
      <c r="A1465" s="373">
        <v>156</v>
      </c>
      <c r="B1465" s="374">
        <f>PVRIO!C40</f>
        <v>29</v>
      </c>
      <c r="C1465" s="381">
        <f>PVRIO!D40</f>
        <v>0</v>
      </c>
      <c r="D1465" s="381">
        <f>PVRIO!E40</f>
        <v>0</v>
      </c>
      <c r="E1465" s="381"/>
      <c r="F1465" s="381"/>
      <c r="G1465" s="375">
        <f t="shared" si="51"/>
        <v>0</v>
      </c>
      <c r="H1465" s="375">
        <f t="shared" si="52"/>
        <v>0</v>
      </c>
      <c r="I1465" s="376">
        <f t="shared" si="50"/>
        <v>0</v>
      </c>
    </row>
    <row r="1466" spans="1:9" x14ac:dyDescent="0.25">
      <c r="A1466" s="373">
        <v>156</v>
      </c>
      <c r="B1466" s="374">
        <f>PVRIO!C41</f>
        <v>30</v>
      </c>
      <c r="C1466" s="381">
        <f>PVRIO!D41</f>
        <v>0</v>
      </c>
      <c r="D1466" s="381">
        <f>PVRIO!E41</f>
        <v>0</v>
      </c>
      <c r="E1466" s="381"/>
      <c r="F1466" s="381"/>
      <c r="G1466" s="375">
        <f t="shared" si="51"/>
        <v>0</v>
      </c>
      <c r="H1466" s="375">
        <f t="shared" si="52"/>
        <v>0</v>
      </c>
      <c r="I1466" s="376">
        <f t="shared" si="50"/>
        <v>0</v>
      </c>
    </row>
    <row r="1467" spans="1:9" x14ac:dyDescent="0.25">
      <c r="A1467" s="373">
        <v>156</v>
      </c>
      <c r="B1467" s="374">
        <f>PVRIO!C42</f>
        <v>31</v>
      </c>
      <c r="C1467" s="381">
        <f>PVRIO!D42</f>
        <v>0</v>
      </c>
      <c r="D1467" s="381">
        <f>PVRIO!E42</f>
        <v>0</v>
      </c>
      <c r="E1467" s="381"/>
      <c r="F1467" s="381"/>
      <c r="G1467" s="375">
        <f t="shared" si="51"/>
        <v>0</v>
      </c>
      <c r="H1467" s="375">
        <f t="shared" si="52"/>
        <v>0</v>
      </c>
      <c r="I1467" s="376">
        <f t="shared" si="50"/>
        <v>0</v>
      </c>
    </row>
    <row r="1468" spans="1:9" x14ac:dyDescent="0.25">
      <c r="A1468" s="373">
        <v>156</v>
      </c>
      <c r="B1468" s="374">
        <f>PVRIO!C43</f>
        <v>32</v>
      </c>
      <c r="C1468" s="381">
        <f>PVRIO!D43</f>
        <v>0</v>
      </c>
      <c r="D1468" s="381">
        <f>PVRIO!E43</f>
        <v>0</v>
      </c>
      <c r="E1468" s="381"/>
      <c r="F1468" s="381"/>
      <c r="G1468" s="375">
        <f t="shared" si="51"/>
        <v>0</v>
      </c>
      <c r="H1468" s="375">
        <f t="shared" si="52"/>
        <v>0</v>
      </c>
      <c r="I1468" s="376">
        <f t="shared" si="50"/>
        <v>0</v>
      </c>
    </row>
    <row r="1469" spans="1:9" x14ac:dyDescent="0.25">
      <c r="A1469" s="373">
        <v>156</v>
      </c>
      <c r="B1469" s="374">
        <f>PVRIO!C44</f>
        <v>33</v>
      </c>
      <c r="C1469" s="381">
        <f>PVRIO!D44</f>
        <v>0</v>
      </c>
      <c r="D1469" s="381">
        <f>PVRIO!E44</f>
        <v>0</v>
      </c>
      <c r="E1469" s="381"/>
      <c r="F1469" s="381"/>
      <c r="G1469" s="375">
        <f t="shared" si="51"/>
        <v>0</v>
      </c>
      <c r="H1469" s="375">
        <f t="shared" si="52"/>
        <v>0</v>
      </c>
      <c r="I1469" s="376">
        <f t="shared" si="50"/>
        <v>0</v>
      </c>
    </row>
    <row r="1470" spans="1:9" x14ac:dyDescent="0.25">
      <c r="A1470" s="373">
        <v>156</v>
      </c>
      <c r="B1470" s="374">
        <f>PVRIO!C45</f>
        <v>34</v>
      </c>
      <c r="C1470" s="381">
        <f>PVRIO!D45</f>
        <v>0</v>
      </c>
      <c r="D1470" s="381">
        <f>PVRIO!E45</f>
        <v>0</v>
      </c>
      <c r="E1470" s="381"/>
      <c r="F1470" s="381"/>
      <c r="G1470" s="375">
        <f t="shared" si="51"/>
        <v>0</v>
      </c>
      <c r="H1470" s="375">
        <f t="shared" si="52"/>
        <v>0</v>
      </c>
      <c r="I1470" s="376">
        <v>0</v>
      </c>
    </row>
    <row r="1471" spans="1:9" x14ac:dyDescent="0.25">
      <c r="A1471" s="373">
        <v>156</v>
      </c>
      <c r="B1471" s="374">
        <f>PVRIO!C46</f>
        <v>35</v>
      </c>
      <c r="C1471" s="381">
        <f>PVRIO!D46</f>
        <v>0</v>
      </c>
      <c r="D1471" s="381">
        <f>PVRIO!E46</f>
        <v>0</v>
      </c>
      <c r="E1471" s="381"/>
      <c r="F1471" s="381"/>
      <c r="G1471" s="375">
        <f t="shared" si="51"/>
        <v>0</v>
      </c>
      <c r="H1471" s="375">
        <f t="shared" si="52"/>
        <v>0</v>
      </c>
      <c r="I1471" s="376">
        <v>0</v>
      </c>
    </row>
    <row r="1472" spans="1:9" x14ac:dyDescent="0.25">
      <c r="A1472" s="373">
        <v>156</v>
      </c>
      <c r="B1472" s="374">
        <f>PVRIO!C47</f>
        <v>36</v>
      </c>
      <c r="C1472" s="381">
        <f>PVRIO!D47</f>
        <v>0</v>
      </c>
      <c r="D1472" s="381">
        <f>PVRIO!E47</f>
        <v>0</v>
      </c>
      <c r="E1472" s="381"/>
      <c r="F1472" s="381"/>
      <c r="G1472" s="375">
        <f t="shared" si="51"/>
        <v>0</v>
      </c>
      <c r="H1472" s="375">
        <f t="shared" si="52"/>
        <v>0</v>
      </c>
      <c r="I1472" s="376">
        <f t="shared" si="50"/>
        <v>0</v>
      </c>
    </row>
    <row r="1473" spans="1:9" x14ac:dyDescent="0.25">
      <c r="A1473" s="373">
        <v>156</v>
      </c>
      <c r="B1473" s="374">
        <f>PVRIO!C48</f>
        <v>37</v>
      </c>
      <c r="C1473" s="381">
        <f>PVRIO!D48</f>
        <v>0</v>
      </c>
      <c r="D1473" s="381">
        <f>PVRIO!E48</f>
        <v>0</v>
      </c>
      <c r="E1473" s="381"/>
      <c r="F1473" s="381"/>
      <c r="G1473" s="375">
        <f t="shared" si="51"/>
        <v>0</v>
      </c>
      <c r="H1473" s="375">
        <f t="shared" si="52"/>
        <v>0</v>
      </c>
      <c r="I1473" s="376">
        <f t="shared" si="50"/>
        <v>0</v>
      </c>
    </row>
    <row r="1474" spans="1:9" x14ac:dyDescent="0.25">
      <c r="A1474" s="373">
        <v>156</v>
      </c>
      <c r="B1474" s="374">
        <f>PVRIO!C49</f>
        <v>38</v>
      </c>
      <c r="C1474" s="381">
        <f>PVRIO!D49</f>
        <v>0</v>
      </c>
      <c r="D1474" s="381">
        <f>PVRIO!E49</f>
        <v>0</v>
      </c>
      <c r="E1474" s="381"/>
      <c r="F1474" s="381"/>
      <c r="G1474" s="375">
        <f t="shared" si="51"/>
        <v>0</v>
      </c>
      <c r="H1474" s="375">
        <f t="shared" si="52"/>
        <v>0</v>
      </c>
      <c r="I1474" s="376">
        <f t="shared" si="50"/>
        <v>0</v>
      </c>
    </row>
    <row r="1475" spans="1:9" x14ac:dyDescent="0.25">
      <c r="A1475" s="373">
        <v>156</v>
      </c>
      <c r="B1475" s="374">
        <f>PVRIO!C50</f>
        <v>39</v>
      </c>
      <c r="C1475" s="381">
        <f>PVRIO!D50</f>
        <v>0</v>
      </c>
      <c r="D1475" s="381">
        <f>PVRIO!E50</f>
        <v>0</v>
      </c>
      <c r="E1475" s="381"/>
      <c r="F1475" s="381"/>
      <c r="G1475" s="375">
        <f t="shared" si="51"/>
        <v>0</v>
      </c>
      <c r="H1475" s="375">
        <f t="shared" si="52"/>
        <v>0</v>
      </c>
      <c r="I1475" s="376">
        <f t="shared" si="50"/>
        <v>0</v>
      </c>
    </row>
    <row r="1476" spans="1:9" x14ac:dyDescent="0.25">
      <c r="A1476" s="373">
        <v>156</v>
      </c>
      <c r="B1476" s="374">
        <f>PVRIO!C51</f>
        <v>40</v>
      </c>
      <c r="C1476" s="381">
        <f>PVRIO!D51</f>
        <v>0</v>
      </c>
      <c r="D1476" s="381">
        <f>PVRIO!E51</f>
        <v>0</v>
      </c>
      <c r="E1476" s="381"/>
      <c r="F1476" s="381"/>
      <c r="G1476" s="375">
        <f t="shared" si="51"/>
        <v>0</v>
      </c>
      <c r="H1476" s="375">
        <f t="shared" si="52"/>
        <v>0</v>
      </c>
      <c r="I1476" s="376">
        <v>0</v>
      </c>
    </row>
    <row r="1477" spans="1:9" x14ac:dyDescent="0.25">
      <c r="A1477" s="373">
        <v>156</v>
      </c>
      <c r="B1477" s="374">
        <f>PVRIO!C52</f>
        <v>41</v>
      </c>
      <c r="C1477" s="381">
        <f>PVRIO!D52</f>
        <v>0</v>
      </c>
      <c r="D1477" s="381">
        <f>PVRIO!E52</f>
        <v>0</v>
      </c>
      <c r="E1477" s="381"/>
      <c r="F1477" s="381"/>
      <c r="G1477" s="375">
        <f t="shared" si="51"/>
        <v>0</v>
      </c>
      <c r="H1477" s="375">
        <f t="shared" si="52"/>
        <v>0</v>
      </c>
      <c r="I1477" s="376">
        <f t="shared" si="50"/>
        <v>0</v>
      </c>
    </row>
    <row r="1478" spans="1:9" x14ac:dyDescent="0.25">
      <c r="A1478" s="373">
        <v>156</v>
      </c>
      <c r="B1478" s="374">
        <f>PVRIO!C53</f>
        <v>42</v>
      </c>
      <c r="C1478" s="381">
        <f>PVRIO!D53</f>
        <v>0</v>
      </c>
      <c r="D1478" s="381">
        <f>PVRIO!E53</f>
        <v>0</v>
      </c>
      <c r="E1478" s="381"/>
      <c r="F1478" s="381"/>
      <c r="G1478" s="375">
        <f t="shared" si="51"/>
        <v>0</v>
      </c>
      <c r="H1478" s="375">
        <f t="shared" si="52"/>
        <v>0</v>
      </c>
      <c r="I1478" s="376">
        <f t="shared" si="50"/>
        <v>0</v>
      </c>
    </row>
    <row r="1479" spans="1:9" x14ac:dyDescent="0.25">
      <c r="A1479" s="373">
        <v>156</v>
      </c>
      <c r="B1479" s="374">
        <f>PVRIO!C54</f>
        <v>43</v>
      </c>
      <c r="C1479" s="381">
        <f>PVRIO!D54</f>
        <v>0</v>
      </c>
      <c r="D1479" s="381">
        <f>PVRIO!E54</f>
        <v>0</v>
      </c>
      <c r="E1479" s="381"/>
      <c r="F1479" s="381"/>
      <c r="G1479" s="375">
        <f t="shared" si="51"/>
        <v>0</v>
      </c>
      <c r="H1479" s="375">
        <f t="shared" si="52"/>
        <v>0</v>
      </c>
      <c r="I1479" s="376">
        <f t="shared" si="50"/>
        <v>0</v>
      </c>
    </row>
    <row r="1480" spans="1:9" x14ac:dyDescent="0.25">
      <c r="A1480" s="391">
        <v>156</v>
      </c>
      <c r="B1480" s="392">
        <f>PVRIO!C55</f>
        <v>44</v>
      </c>
      <c r="C1480" s="396">
        <f>PVRIO!D55</f>
        <v>0</v>
      </c>
      <c r="D1480" s="396">
        <f>PVRIO!E55</f>
        <v>0</v>
      </c>
      <c r="E1480" s="396"/>
      <c r="F1480" s="396"/>
      <c r="G1480" s="393">
        <f t="shared" si="51"/>
        <v>0</v>
      </c>
      <c r="H1480" s="393">
        <f t="shared" si="52"/>
        <v>0</v>
      </c>
      <c r="I1480" s="394">
        <f t="shared" si="50"/>
        <v>0</v>
      </c>
    </row>
    <row r="1481" spans="1:9" x14ac:dyDescent="0.25">
      <c r="A1481" s="383">
        <v>158</v>
      </c>
      <c r="B1481" s="384">
        <f>Bil!C12</f>
        <v>1</v>
      </c>
      <c r="C1481" s="384">
        <f>Bil!D12</f>
        <v>9542508</v>
      </c>
      <c r="D1481" s="384">
        <f>Bil!E12</f>
        <v>9329559</v>
      </c>
      <c r="E1481" s="384"/>
      <c r="F1481" s="384"/>
      <c r="G1481" s="385">
        <f>B1481/1000*C1481+B1481/500*D1481</f>
        <v>28201.625999999997</v>
      </c>
      <c r="H1481" s="385">
        <f>ABS(C1481-ROUND(C1481,0))+ABS(D1481-ROUND(D1481,0))</f>
        <v>0</v>
      </c>
      <c r="I1481" s="386"/>
    </row>
    <row r="1482" spans="1:9" x14ac:dyDescent="0.25">
      <c r="A1482" s="373">
        <v>158</v>
      </c>
      <c r="B1482" s="374">
        <f>Bil!C13</f>
        <v>2</v>
      </c>
      <c r="C1482" s="374">
        <f>Bil!D13</f>
        <v>8713873</v>
      </c>
      <c r="D1482" s="374">
        <f>Bil!E13</f>
        <v>8464716</v>
      </c>
      <c r="E1482" s="374"/>
      <c r="F1482" s="374"/>
      <c r="G1482" s="375">
        <f>B1482/1000*C1482+B1482/500*D1482</f>
        <v>51286.61</v>
      </c>
      <c r="H1482" s="375">
        <f>ABS(C1482-ROUND(C1482,0))+ABS(D1482-ROUND(D1482,0))</f>
        <v>0</v>
      </c>
      <c r="I1482" s="376"/>
    </row>
    <row r="1483" spans="1:9" x14ac:dyDescent="0.25">
      <c r="A1483" s="373">
        <v>158</v>
      </c>
      <c r="B1483" s="374">
        <f>Bil!C14</f>
        <v>3</v>
      </c>
      <c r="C1483" s="374">
        <f>Bil!D14</f>
        <v>2581907</v>
      </c>
      <c r="D1483" s="374">
        <f>Bil!E14</f>
        <v>2594038</v>
      </c>
      <c r="E1483" s="374"/>
      <c r="F1483" s="374"/>
      <c r="G1483" s="375">
        <f>B1483/1000*C1483+B1483/500*D1483</f>
        <v>23309.949000000001</v>
      </c>
      <c r="H1483" s="375">
        <f>ABS(C1483-ROUND(C1483,0))+ABS(D1483-ROUND(D1483,0))</f>
        <v>0</v>
      </c>
      <c r="I1483" s="376"/>
    </row>
    <row r="1484" spans="1:9" x14ac:dyDescent="0.25">
      <c r="A1484" s="373">
        <v>158</v>
      </c>
      <c r="B1484" s="374">
        <f>Bil!C15</f>
        <v>4</v>
      </c>
      <c r="C1484" s="374">
        <f>Bil!D15</f>
        <v>133817</v>
      </c>
      <c r="D1484" s="374">
        <f>Bil!E15</f>
        <v>133817</v>
      </c>
      <c r="E1484" s="374"/>
      <c r="F1484" s="374"/>
      <c r="G1484" s="375">
        <f t="shared" ref="G1484:G1547" si="53">B1484/1000*C1484+B1484/500*D1484</f>
        <v>1605.8040000000001</v>
      </c>
      <c r="H1484" s="375">
        <f t="shared" ref="H1484:H1547" si="54">ABS(C1484-ROUND(C1484,0))+ABS(D1484-ROUND(D1484,0))</f>
        <v>0</v>
      </c>
      <c r="I1484" s="376"/>
    </row>
    <row r="1485" spans="1:9" x14ac:dyDescent="0.25">
      <c r="A1485" s="373">
        <v>158</v>
      </c>
      <c r="B1485" s="374">
        <f>Bil!C16</f>
        <v>5</v>
      </c>
      <c r="C1485" s="374">
        <f>Bil!D16</f>
        <v>2483012</v>
      </c>
      <c r="D1485" s="374">
        <f>Bil!E16</f>
        <v>2501762</v>
      </c>
      <c r="E1485" s="374"/>
      <c r="F1485" s="374"/>
      <c r="G1485" s="375">
        <f t="shared" si="53"/>
        <v>37432.68</v>
      </c>
      <c r="H1485" s="375">
        <f t="shared" si="54"/>
        <v>0</v>
      </c>
      <c r="I1485" s="376"/>
    </row>
    <row r="1486" spans="1:9" x14ac:dyDescent="0.25">
      <c r="A1486" s="373">
        <v>158</v>
      </c>
      <c r="B1486" s="374">
        <f>Bil!C17</f>
        <v>6</v>
      </c>
      <c r="C1486" s="374">
        <f>Bil!D17</f>
        <v>34922</v>
      </c>
      <c r="D1486" s="374">
        <f>Bil!E17</f>
        <v>41541</v>
      </c>
      <c r="E1486" s="374"/>
      <c r="F1486" s="374"/>
      <c r="G1486" s="375">
        <f t="shared" si="53"/>
        <v>708.024</v>
      </c>
      <c r="H1486" s="375">
        <f t="shared" si="54"/>
        <v>0</v>
      </c>
      <c r="I1486" s="376"/>
    </row>
    <row r="1487" spans="1:9" x14ac:dyDescent="0.25">
      <c r="A1487" s="373">
        <v>158</v>
      </c>
      <c r="B1487" s="374">
        <f>Bil!C18</f>
        <v>7</v>
      </c>
      <c r="C1487" s="374">
        <f>Bil!D18</f>
        <v>5662936</v>
      </c>
      <c r="D1487" s="374">
        <f>Bil!E18</f>
        <v>5401648</v>
      </c>
      <c r="E1487" s="374"/>
      <c r="F1487" s="374"/>
      <c r="G1487" s="375">
        <f t="shared" si="53"/>
        <v>115263.62400000001</v>
      </c>
      <c r="H1487" s="375">
        <f t="shared" si="54"/>
        <v>0</v>
      </c>
      <c r="I1487" s="376"/>
    </row>
    <row r="1488" spans="1:9" x14ac:dyDescent="0.25">
      <c r="A1488" s="373">
        <v>158</v>
      </c>
      <c r="B1488" s="374">
        <f>Bil!C19</f>
        <v>8</v>
      </c>
      <c r="C1488" s="374">
        <f>Bil!D19</f>
        <v>5553152</v>
      </c>
      <c r="D1488" s="374">
        <f>Bil!E19</f>
        <v>5295818</v>
      </c>
      <c r="E1488" s="374"/>
      <c r="F1488" s="374"/>
      <c r="G1488" s="375">
        <f t="shared" si="53"/>
        <v>129158.304</v>
      </c>
      <c r="H1488" s="375">
        <f t="shared" si="54"/>
        <v>0</v>
      </c>
      <c r="I1488" s="376"/>
    </row>
    <row r="1489" spans="1:9" x14ac:dyDescent="0.25">
      <c r="A1489" s="373">
        <v>158</v>
      </c>
      <c r="B1489" s="374">
        <f>Bil!C20</f>
        <v>9</v>
      </c>
      <c r="C1489" s="374">
        <f>Bil!D20</f>
        <v>0</v>
      </c>
      <c r="D1489" s="374">
        <f>Bil!E20</f>
        <v>0</v>
      </c>
      <c r="E1489" s="374"/>
      <c r="F1489" s="374"/>
      <c r="G1489" s="375">
        <f t="shared" si="53"/>
        <v>0</v>
      </c>
      <c r="H1489" s="375">
        <f t="shared" si="54"/>
        <v>0</v>
      </c>
      <c r="I1489" s="376"/>
    </row>
    <row r="1490" spans="1:9" x14ac:dyDescent="0.25">
      <c r="A1490" s="373">
        <v>158</v>
      </c>
      <c r="B1490" s="374">
        <f>Bil!C21</f>
        <v>10</v>
      </c>
      <c r="C1490" s="374">
        <f>Bil!D21</f>
        <v>2235485</v>
      </c>
      <c r="D1490" s="374">
        <f>Bil!E21</f>
        <v>2235485</v>
      </c>
      <c r="E1490" s="374"/>
      <c r="F1490" s="374"/>
      <c r="G1490" s="375">
        <f t="shared" si="53"/>
        <v>67064.55</v>
      </c>
      <c r="H1490" s="375">
        <f t="shared" si="54"/>
        <v>0</v>
      </c>
      <c r="I1490" s="376"/>
    </row>
    <row r="1491" spans="1:9" x14ac:dyDescent="0.25">
      <c r="A1491" s="373">
        <v>158</v>
      </c>
      <c r="B1491" s="374">
        <f>Bil!C22</f>
        <v>11</v>
      </c>
      <c r="C1491" s="374">
        <f>Bil!D22</f>
        <v>5650799</v>
      </c>
      <c r="D1491" s="374">
        <f>Bil!E22</f>
        <v>5650799</v>
      </c>
      <c r="E1491" s="374"/>
      <c r="F1491" s="374"/>
      <c r="G1491" s="375">
        <f t="shared" si="53"/>
        <v>186476.367</v>
      </c>
      <c r="H1491" s="375">
        <f t="shared" si="54"/>
        <v>0</v>
      </c>
      <c r="I1491" s="376"/>
    </row>
    <row r="1492" spans="1:9" x14ac:dyDescent="0.25">
      <c r="A1492" s="373">
        <v>158</v>
      </c>
      <c r="B1492" s="374">
        <f>Bil!C23</f>
        <v>12</v>
      </c>
      <c r="C1492" s="374">
        <f>Bil!D23</f>
        <v>403202</v>
      </c>
      <c r="D1492" s="374">
        <f>Bil!E23</f>
        <v>403203</v>
      </c>
      <c r="E1492" s="374"/>
      <c r="F1492" s="374"/>
      <c r="G1492" s="375">
        <f t="shared" si="53"/>
        <v>14515.295999999998</v>
      </c>
      <c r="H1492" s="375">
        <f t="shared" si="54"/>
        <v>0</v>
      </c>
      <c r="I1492" s="376"/>
    </row>
    <row r="1493" spans="1:9" x14ac:dyDescent="0.25">
      <c r="A1493" s="373">
        <v>158</v>
      </c>
      <c r="B1493" s="374">
        <f>Bil!C24</f>
        <v>13</v>
      </c>
      <c r="C1493" s="374">
        <f>Bil!D24</f>
        <v>2736334</v>
      </c>
      <c r="D1493" s="374">
        <f>Bil!E24</f>
        <v>2993669</v>
      </c>
      <c r="E1493" s="374"/>
      <c r="F1493" s="374"/>
      <c r="G1493" s="375">
        <f t="shared" si="53"/>
        <v>113407.736</v>
      </c>
      <c r="H1493" s="375">
        <f t="shared" si="54"/>
        <v>0</v>
      </c>
      <c r="I1493" s="376"/>
    </row>
    <row r="1494" spans="1:9" x14ac:dyDescent="0.25">
      <c r="A1494" s="373">
        <v>158</v>
      </c>
      <c r="B1494" s="374">
        <f>Bil!C25</f>
        <v>14</v>
      </c>
      <c r="C1494" s="374">
        <f>Bil!D25</f>
        <v>30132</v>
      </c>
      <c r="D1494" s="374">
        <f>Bil!E25</f>
        <v>26178</v>
      </c>
      <c r="E1494" s="374"/>
      <c r="F1494" s="374"/>
      <c r="G1494" s="375">
        <f t="shared" si="53"/>
        <v>1154.8320000000001</v>
      </c>
      <c r="H1494" s="375">
        <f t="shared" si="54"/>
        <v>0</v>
      </c>
      <c r="I1494" s="376"/>
    </row>
    <row r="1495" spans="1:9" x14ac:dyDescent="0.25">
      <c r="A1495" s="373">
        <v>158</v>
      </c>
      <c r="B1495" s="374">
        <f>Bil!C26</f>
        <v>15</v>
      </c>
      <c r="C1495" s="374">
        <f>Bil!D26</f>
        <v>169281</v>
      </c>
      <c r="D1495" s="374">
        <f>Bil!E26</f>
        <v>161226</v>
      </c>
      <c r="E1495" s="374"/>
      <c r="F1495" s="374"/>
      <c r="G1495" s="375">
        <f t="shared" si="53"/>
        <v>7375.994999999999</v>
      </c>
      <c r="H1495" s="375">
        <f t="shared" si="54"/>
        <v>0</v>
      </c>
      <c r="I1495" s="376"/>
    </row>
    <row r="1496" spans="1:9" x14ac:dyDescent="0.25">
      <c r="A1496" s="373">
        <v>158</v>
      </c>
      <c r="B1496" s="374">
        <f>Bil!C27</f>
        <v>16</v>
      </c>
      <c r="C1496" s="374">
        <f>Bil!D27</f>
        <v>0</v>
      </c>
      <c r="D1496" s="374">
        <f>Bil!E27</f>
        <v>0</v>
      </c>
      <c r="E1496" s="374"/>
      <c r="F1496" s="374"/>
      <c r="G1496" s="375">
        <f t="shared" si="53"/>
        <v>0</v>
      </c>
      <c r="H1496" s="375">
        <f t="shared" si="54"/>
        <v>0</v>
      </c>
      <c r="I1496" s="376"/>
    </row>
    <row r="1497" spans="1:9" x14ac:dyDescent="0.25">
      <c r="A1497" s="373">
        <v>158</v>
      </c>
      <c r="B1497" s="374">
        <f>Bil!C28</f>
        <v>17</v>
      </c>
      <c r="C1497" s="374">
        <f>Bil!D28</f>
        <v>57344</v>
      </c>
      <c r="D1497" s="374">
        <f>Bil!E28</f>
        <v>59143</v>
      </c>
      <c r="E1497" s="374"/>
      <c r="F1497" s="374"/>
      <c r="G1497" s="375">
        <f t="shared" si="53"/>
        <v>2985.71</v>
      </c>
      <c r="H1497" s="375">
        <f t="shared" si="54"/>
        <v>0</v>
      </c>
      <c r="I1497" s="376"/>
    </row>
    <row r="1498" spans="1:9" x14ac:dyDescent="0.25">
      <c r="A1498" s="373">
        <v>158</v>
      </c>
      <c r="B1498" s="374">
        <f>Bil!C29</f>
        <v>18</v>
      </c>
      <c r="C1498" s="374">
        <f>Bil!D29</f>
        <v>0</v>
      </c>
      <c r="D1498" s="374">
        <f>Bil!E29</f>
        <v>0</v>
      </c>
      <c r="E1498" s="374"/>
      <c r="F1498" s="374"/>
      <c r="G1498" s="375">
        <f t="shared" si="53"/>
        <v>0</v>
      </c>
      <c r="H1498" s="375">
        <f t="shared" si="54"/>
        <v>0</v>
      </c>
      <c r="I1498" s="376"/>
    </row>
    <row r="1499" spans="1:9" x14ac:dyDescent="0.25">
      <c r="A1499" s="373">
        <v>158</v>
      </c>
      <c r="B1499" s="374">
        <f>Bil!C30</f>
        <v>19</v>
      </c>
      <c r="C1499" s="374">
        <f>Bil!D30</f>
        <v>0</v>
      </c>
      <c r="D1499" s="374">
        <f>Bil!E30</f>
        <v>0</v>
      </c>
      <c r="E1499" s="374"/>
      <c r="F1499" s="374"/>
      <c r="G1499" s="375">
        <f t="shared" si="53"/>
        <v>0</v>
      </c>
      <c r="H1499" s="375">
        <f t="shared" si="54"/>
        <v>0</v>
      </c>
      <c r="I1499" s="376"/>
    </row>
    <row r="1500" spans="1:9" x14ac:dyDescent="0.25">
      <c r="A1500" s="373">
        <v>158</v>
      </c>
      <c r="B1500" s="374">
        <f>Bil!C31</f>
        <v>20</v>
      </c>
      <c r="C1500" s="374">
        <f>Bil!D31</f>
        <v>7463</v>
      </c>
      <c r="D1500" s="374">
        <f>Bil!E31</f>
        <v>7463</v>
      </c>
      <c r="E1500" s="374"/>
      <c r="F1500" s="374"/>
      <c r="G1500" s="375">
        <f t="shared" si="53"/>
        <v>447.78</v>
      </c>
      <c r="H1500" s="375">
        <f t="shared" si="54"/>
        <v>0</v>
      </c>
      <c r="I1500" s="376"/>
    </row>
    <row r="1501" spans="1:9" x14ac:dyDescent="0.25">
      <c r="A1501" s="373">
        <v>158</v>
      </c>
      <c r="B1501" s="374">
        <f>Bil!C32</f>
        <v>21</v>
      </c>
      <c r="C1501" s="374">
        <f>Bil!D32</f>
        <v>39278</v>
      </c>
      <c r="D1501" s="374">
        <f>Bil!E32</f>
        <v>45097</v>
      </c>
      <c r="E1501" s="374"/>
      <c r="F1501" s="374"/>
      <c r="G1501" s="375">
        <f t="shared" si="53"/>
        <v>2718.9120000000003</v>
      </c>
      <c r="H1501" s="375">
        <f t="shared" si="54"/>
        <v>0</v>
      </c>
      <c r="I1501" s="376"/>
    </row>
    <row r="1502" spans="1:9" x14ac:dyDescent="0.25">
      <c r="A1502" s="373">
        <v>158</v>
      </c>
      <c r="B1502" s="374">
        <f>Bil!C33</f>
        <v>22</v>
      </c>
      <c r="C1502" s="374">
        <f>Bil!D33</f>
        <v>243234</v>
      </c>
      <c r="D1502" s="374">
        <f>Bil!E33</f>
        <v>246751</v>
      </c>
      <c r="E1502" s="374"/>
      <c r="F1502" s="374"/>
      <c r="G1502" s="375">
        <f t="shared" si="53"/>
        <v>16208.191999999999</v>
      </c>
      <c r="H1502" s="375">
        <f t="shared" si="54"/>
        <v>0</v>
      </c>
      <c r="I1502" s="376"/>
    </row>
    <row r="1503" spans="1:9" x14ac:dyDescent="0.25">
      <c r="A1503" s="373">
        <v>158</v>
      </c>
      <c r="B1503" s="374">
        <f>Bil!C34</f>
        <v>23</v>
      </c>
      <c r="C1503" s="374">
        <f>Bil!D34</f>
        <v>0</v>
      </c>
      <c r="D1503" s="374">
        <f>Bil!E34</f>
        <v>0</v>
      </c>
      <c r="E1503" s="374"/>
      <c r="F1503" s="374"/>
      <c r="G1503" s="375">
        <f t="shared" si="53"/>
        <v>0</v>
      </c>
      <c r="H1503" s="375">
        <f t="shared" si="54"/>
        <v>0</v>
      </c>
      <c r="I1503" s="376"/>
    </row>
    <row r="1504" spans="1:9" x14ac:dyDescent="0.25">
      <c r="A1504" s="373">
        <v>158</v>
      </c>
      <c r="B1504" s="374">
        <f>Bil!C35</f>
        <v>24</v>
      </c>
      <c r="C1504" s="374">
        <f>Bil!D35</f>
        <v>0</v>
      </c>
      <c r="D1504" s="374">
        <f>Bil!E35</f>
        <v>0</v>
      </c>
      <c r="E1504" s="374"/>
      <c r="F1504" s="374"/>
      <c r="G1504" s="375">
        <f t="shared" si="53"/>
        <v>0</v>
      </c>
      <c r="H1504" s="375">
        <f t="shared" si="54"/>
        <v>0</v>
      </c>
      <c r="I1504" s="376"/>
    </row>
    <row r="1505" spans="1:9" x14ac:dyDescent="0.25">
      <c r="A1505" s="373">
        <v>158</v>
      </c>
      <c r="B1505" s="374">
        <f>Bil!C36</f>
        <v>25</v>
      </c>
      <c r="C1505" s="374">
        <f>Bil!D36</f>
        <v>0</v>
      </c>
      <c r="D1505" s="374">
        <f>Bil!E36</f>
        <v>0</v>
      </c>
      <c r="E1505" s="374"/>
      <c r="F1505" s="374"/>
      <c r="G1505" s="375">
        <f t="shared" si="53"/>
        <v>0</v>
      </c>
      <c r="H1505" s="375">
        <f t="shared" si="54"/>
        <v>0</v>
      </c>
      <c r="I1505" s="376"/>
    </row>
    <row r="1506" spans="1:9" x14ac:dyDescent="0.25">
      <c r="A1506" s="373">
        <v>158</v>
      </c>
      <c r="B1506" s="374">
        <f>Bil!C37</f>
        <v>26</v>
      </c>
      <c r="C1506" s="374">
        <f>Bil!D37</f>
        <v>0</v>
      </c>
      <c r="D1506" s="374">
        <f>Bil!E37</f>
        <v>0</v>
      </c>
      <c r="E1506" s="374"/>
      <c r="F1506" s="374"/>
      <c r="G1506" s="375">
        <f t="shared" si="53"/>
        <v>0</v>
      </c>
      <c r="H1506" s="375">
        <f t="shared" si="54"/>
        <v>0</v>
      </c>
      <c r="I1506" s="376"/>
    </row>
    <row r="1507" spans="1:9" x14ac:dyDescent="0.25">
      <c r="A1507" s="373">
        <v>158</v>
      </c>
      <c r="B1507" s="374">
        <f>Bil!C38</f>
        <v>27</v>
      </c>
      <c r="C1507" s="374">
        <f>Bil!D38</f>
        <v>0</v>
      </c>
      <c r="D1507" s="374">
        <f>Bil!E38</f>
        <v>0</v>
      </c>
      <c r="E1507" s="374"/>
      <c r="F1507" s="374"/>
      <c r="G1507" s="375">
        <f t="shared" si="53"/>
        <v>0</v>
      </c>
      <c r="H1507" s="375">
        <f t="shared" si="54"/>
        <v>0</v>
      </c>
      <c r="I1507" s="376"/>
    </row>
    <row r="1508" spans="1:9" x14ac:dyDescent="0.25">
      <c r="A1508" s="373">
        <v>158</v>
      </c>
      <c r="B1508" s="374">
        <f>Bil!C39</f>
        <v>28</v>
      </c>
      <c r="C1508" s="374">
        <f>Bil!D39</f>
        <v>0</v>
      </c>
      <c r="D1508" s="374">
        <f>Bil!E39</f>
        <v>0</v>
      </c>
      <c r="E1508" s="374"/>
      <c r="F1508" s="374"/>
      <c r="G1508" s="375">
        <f t="shared" si="53"/>
        <v>0</v>
      </c>
      <c r="H1508" s="375">
        <f t="shared" si="54"/>
        <v>0</v>
      </c>
      <c r="I1508" s="376"/>
    </row>
    <row r="1509" spans="1:9" x14ac:dyDescent="0.25">
      <c r="A1509" s="373">
        <v>158</v>
      </c>
      <c r="B1509" s="374">
        <f>Bil!C40</f>
        <v>29</v>
      </c>
      <c r="C1509" s="374">
        <f>Bil!D40</f>
        <v>17763</v>
      </c>
      <c r="D1509" s="374">
        <f>Bil!E40</f>
        <v>17763</v>
      </c>
      <c r="E1509" s="374"/>
      <c r="F1509" s="374"/>
      <c r="G1509" s="375">
        <f t="shared" si="53"/>
        <v>1545.3810000000003</v>
      </c>
      <c r="H1509" s="375">
        <f t="shared" si="54"/>
        <v>0</v>
      </c>
      <c r="I1509" s="376"/>
    </row>
    <row r="1510" spans="1:9" x14ac:dyDescent="0.25">
      <c r="A1510" s="373">
        <v>158</v>
      </c>
      <c r="B1510" s="374">
        <f>Bil!C41</f>
        <v>30</v>
      </c>
      <c r="C1510" s="374">
        <f>Bil!D41</f>
        <v>0</v>
      </c>
      <c r="D1510" s="374">
        <f>Bil!E41</f>
        <v>0</v>
      </c>
      <c r="E1510" s="374"/>
      <c r="F1510" s="374"/>
      <c r="G1510" s="375">
        <f t="shared" si="53"/>
        <v>0</v>
      </c>
      <c r="H1510" s="375">
        <f t="shared" si="54"/>
        <v>0</v>
      </c>
      <c r="I1510" s="376"/>
    </row>
    <row r="1511" spans="1:9" x14ac:dyDescent="0.25">
      <c r="A1511" s="373">
        <v>158</v>
      </c>
      <c r="B1511" s="374">
        <f>Bil!C42</f>
        <v>31</v>
      </c>
      <c r="C1511" s="374">
        <f>Bil!D42</f>
        <v>17763</v>
      </c>
      <c r="D1511" s="374">
        <f>Bil!E42</f>
        <v>17763</v>
      </c>
      <c r="E1511" s="374"/>
      <c r="F1511" s="374"/>
      <c r="G1511" s="375">
        <f t="shared" si="53"/>
        <v>1651.9590000000001</v>
      </c>
      <c r="H1511" s="375">
        <f t="shared" si="54"/>
        <v>0</v>
      </c>
      <c r="I1511" s="376"/>
    </row>
    <row r="1512" spans="1:9" x14ac:dyDescent="0.25">
      <c r="A1512" s="373">
        <v>158</v>
      </c>
      <c r="B1512" s="374">
        <f>Bil!C43</f>
        <v>32</v>
      </c>
      <c r="C1512" s="374">
        <f>Bil!D43</f>
        <v>0</v>
      </c>
      <c r="D1512" s="374">
        <f>Bil!E43</f>
        <v>0</v>
      </c>
      <c r="E1512" s="374"/>
      <c r="F1512" s="374"/>
      <c r="G1512" s="375">
        <f t="shared" si="53"/>
        <v>0</v>
      </c>
      <c r="H1512" s="375">
        <f t="shared" si="54"/>
        <v>0</v>
      </c>
      <c r="I1512" s="376"/>
    </row>
    <row r="1513" spans="1:9" x14ac:dyDescent="0.25">
      <c r="A1513" s="373">
        <v>158</v>
      </c>
      <c r="B1513" s="374">
        <f>Bil!C44</f>
        <v>33</v>
      </c>
      <c r="C1513" s="374">
        <f>Bil!D44</f>
        <v>0</v>
      </c>
      <c r="D1513" s="374">
        <f>Bil!E44</f>
        <v>0</v>
      </c>
      <c r="E1513" s="374"/>
      <c r="F1513" s="374"/>
      <c r="G1513" s="375">
        <f t="shared" si="53"/>
        <v>0</v>
      </c>
      <c r="H1513" s="375">
        <f t="shared" si="54"/>
        <v>0</v>
      </c>
      <c r="I1513" s="376"/>
    </row>
    <row r="1514" spans="1:9" x14ac:dyDescent="0.25">
      <c r="A1514" s="373">
        <v>158</v>
      </c>
      <c r="B1514" s="374">
        <f>Bil!C45</f>
        <v>34</v>
      </c>
      <c r="C1514" s="374">
        <f>Bil!D45</f>
        <v>0</v>
      </c>
      <c r="D1514" s="374">
        <f>Bil!E45</f>
        <v>0</v>
      </c>
      <c r="E1514" s="374"/>
      <c r="F1514" s="374"/>
      <c r="G1514" s="375">
        <f t="shared" si="53"/>
        <v>0</v>
      </c>
      <c r="H1514" s="375">
        <f t="shared" si="54"/>
        <v>0</v>
      </c>
      <c r="I1514" s="376"/>
    </row>
    <row r="1515" spans="1:9" x14ac:dyDescent="0.25">
      <c r="A1515" s="373">
        <v>158</v>
      </c>
      <c r="B1515" s="374">
        <f>Bil!C46</f>
        <v>35</v>
      </c>
      <c r="C1515" s="374">
        <f>Bil!D46</f>
        <v>0</v>
      </c>
      <c r="D1515" s="374">
        <f>Bil!E46</f>
        <v>0</v>
      </c>
      <c r="E1515" s="374"/>
      <c r="F1515" s="374"/>
      <c r="G1515" s="375">
        <f t="shared" si="53"/>
        <v>0</v>
      </c>
      <c r="H1515" s="375">
        <f t="shared" si="54"/>
        <v>0</v>
      </c>
      <c r="I1515" s="376"/>
    </row>
    <row r="1516" spans="1:9" x14ac:dyDescent="0.25">
      <c r="A1516" s="373">
        <v>158</v>
      </c>
      <c r="B1516" s="374">
        <f>Bil!C47</f>
        <v>36</v>
      </c>
      <c r="C1516" s="374">
        <f>Bil!D47</f>
        <v>0</v>
      </c>
      <c r="D1516" s="374">
        <f>Bil!E47</f>
        <v>0</v>
      </c>
      <c r="E1516" s="374"/>
      <c r="F1516" s="374"/>
      <c r="G1516" s="375">
        <f t="shared" si="53"/>
        <v>0</v>
      </c>
      <c r="H1516" s="375">
        <f t="shared" si="54"/>
        <v>0</v>
      </c>
      <c r="I1516" s="376"/>
    </row>
    <row r="1517" spans="1:9" x14ac:dyDescent="0.25">
      <c r="A1517" s="373">
        <v>158</v>
      </c>
      <c r="B1517" s="374">
        <f>Bil!C48</f>
        <v>37</v>
      </c>
      <c r="C1517" s="374">
        <f>Bil!D48</f>
        <v>0</v>
      </c>
      <c r="D1517" s="374">
        <f>Bil!E48</f>
        <v>0</v>
      </c>
      <c r="E1517" s="374"/>
      <c r="F1517" s="374"/>
      <c r="G1517" s="375">
        <f t="shared" si="53"/>
        <v>0</v>
      </c>
      <c r="H1517" s="375">
        <f t="shared" si="54"/>
        <v>0</v>
      </c>
      <c r="I1517" s="376"/>
    </row>
    <row r="1518" spans="1:9" x14ac:dyDescent="0.25">
      <c r="A1518" s="373">
        <v>158</v>
      </c>
      <c r="B1518" s="374">
        <f>Bil!C49</f>
        <v>38</v>
      </c>
      <c r="C1518" s="374">
        <f>Bil!D49</f>
        <v>0</v>
      </c>
      <c r="D1518" s="374">
        <f>Bil!E49</f>
        <v>0</v>
      </c>
      <c r="E1518" s="374"/>
      <c r="F1518" s="374"/>
      <c r="G1518" s="375">
        <f t="shared" si="53"/>
        <v>0</v>
      </c>
      <c r="H1518" s="375">
        <f t="shared" si="54"/>
        <v>0</v>
      </c>
      <c r="I1518" s="376"/>
    </row>
    <row r="1519" spans="1:9" x14ac:dyDescent="0.25">
      <c r="A1519" s="373">
        <v>158</v>
      </c>
      <c r="B1519" s="374">
        <f>Bil!C50</f>
        <v>39</v>
      </c>
      <c r="C1519" s="374">
        <f>Bil!D50</f>
        <v>61889</v>
      </c>
      <c r="D1519" s="374">
        <f>Bil!E50</f>
        <v>61889</v>
      </c>
      <c r="E1519" s="374"/>
      <c r="F1519" s="374"/>
      <c r="G1519" s="375">
        <f t="shared" si="53"/>
        <v>7241.012999999999</v>
      </c>
      <c r="H1519" s="375">
        <f t="shared" si="54"/>
        <v>0</v>
      </c>
      <c r="I1519" s="376"/>
    </row>
    <row r="1520" spans="1:9" x14ac:dyDescent="0.25">
      <c r="A1520" s="373">
        <v>158</v>
      </c>
      <c r="B1520" s="374">
        <f>Bil!C51</f>
        <v>40</v>
      </c>
      <c r="C1520" s="374">
        <f>Bil!D51</f>
        <v>0</v>
      </c>
      <c r="D1520" s="374">
        <f>Bil!E51</f>
        <v>0</v>
      </c>
      <c r="E1520" s="374"/>
      <c r="F1520" s="374"/>
      <c r="G1520" s="375">
        <f t="shared" si="53"/>
        <v>0</v>
      </c>
      <c r="H1520" s="375">
        <f t="shared" si="54"/>
        <v>0</v>
      </c>
      <c r="I1520" s="376"/>
    </row>
    <row r="1521" spans="1:9" x14ac:dyDescent="0.25">
      <c r="A1521" s="373">
        <v>158</v>
      </c>
      <c r="B1521" s="374">
        <f>Bil!C52</f>
        <v>41</v>
      </c>
      <c r="C1521" s="374">
        <f>Bil!D52</f>
        <v>0</v>
      </c>
      <c r="D1521" s="374">
        <f>Bil!E52</f>
        <v>0</v>
      </c>
      <c r="E1521" s="374"/>
      <c r="F1521" s="374"/>
      <c r="G1521" s="375">
        <f t="shared" si="53"/>
        <v>0</v>
      </c>
      <c r="H1521" s="375">
        <f t="shared" si="54"/>
        <v>0</v>
      </c>
      <c r="I1521" s="376"/>
    </row>
    <row r="1522" spans="1:9" x14ac:dyDescent="0.25">
      <c r="A1522" s="373">
        <v>158</v>
      </c>
      <c r="B1522" s="374">
        <f>Bil!C53</f>
        <v>42</v>
      </c>
      <c r="C1522" s="374">
        <f>Bil!D53</f>
        <v>0</v>
      </c>
      <c r="D1522" s="374">
        <f>Bil!E53</f>
        <v>0</v>
      </c>
      <c r="E1522" s="374"/>
      <c r="F1522" s="374"/>
      <c r="G1522" s="375">
        <f t="shared" si="53"/>
        <v>0</v>
      </c>
      <c r="H1522" s="375">
        <f t="shared" si="54"/>
        <v>0</v>
      </c>
      <c r="I1522" s="376"/>
    </row>
    <row r="1523" spans="1:9" x14ac:dyDescent="0.25">
      <c r="A1523" s="373">
        <v>158</v>
      </c>
      <c r="B1523" s="374">
        <f>Bil!C54</f>
        <v>43</v>
      </c>
      <c r="C1523" s="374">
        <f>Bil!D54</f>
        <v>61889</v>
      </c>
      <c r="D1523" s="374">
        <f>Bil!E54</f>
        <v>61889</v>
      </c>
      <c r="E1523" s="374"/>
      <c r="F1523" s="374"/>
      <c r="G1523" s="375">
        <f t="shared" si="53"/>
        <v>7983.6809999999996</v>
      </c>
      <c r="H1523" s="375">
        <f t="shared" si="54"/>
        <v>0</v>
      </c>
      <c r="I1523" s="376"/>
    </row>
    <row r="1524" spans="1:9" x14ac:dyDescent="0.25">
      <c r="A1524" s="373">
        <v>158</v>
      </c>
      <c r="B1524" s="374">
        <f>Bil!C55</f>
        <v>44</v>
      </c>
      <c r="C1524" s="374">
        <f>Bil!D55</f>
        <v>0</v>
      </c>
      <c r="D1524" s="374">
        <f>Bil!E55</f>
        <v>0</v>
      </c>
      <c r="E1524" s="374"/>
      <c r="F1524" s="374"/>
      <c r="G1524" s="375">
        <f t="shared" si="53"/>
        <v>0</v>
      </c>
      <c r="H1524" s="375">
        <f t="shared" si="54"/>
        <v>0</v>
      </c>
      <c r="I1524" s="376"/>
    </row>
    <row r="1525" spans="1:9" x14ac:dyDescent="0.25">
      <c r="A1525" s="373">
        <v>158</v>
      </c>
      <c r="B1525" s="374">
        <f>Bil!C56</f>
        <v>45</v>
      </c>
      <c r="C1525" s="374">
        <f>Bil!D56</f>
        <v>0</v>
      </c>
      <c r="D1525" s="374">
        <f>Bil!E56</f>
        <v>0</v>
      </c>
      <c r="E1525" s="374"/>
      <c r="F1525" s="374"/>
      <c r="G1525" s="375">
        <f t="shared" si="53"/>
        <v>0</v>
      </c>
      <c r="H1525" s="375">
        <f t="shared" si="54"/>
        <v>0</v>
      </c>
      <c r="I1525" s="376"/>
    </row>
    <row r="1526" spans="1:9" x14ac:dyDescent="0.25">
      <c r="A1526" s="373">
        <v>158</v>
      </c>
      <c r="B1526" s="374">
        <f>Bil!C57</f>
        <v>46</v>
      </c>
      <c r="C1526" s="374">
        <f>Bil!D57</f>
        <v>0</v>
      </c>
      <c r="D1526" s="374">
        <f>Bil!E57</f>
        <v>0</v>
      </c>
      <c r="E1526" s="374"/>
      <c r="F1526" s="374"/>
      <c r="G1526" s="375">
        <f t="shared" si="53"/>
        <v>0</v>
      </c>
      <c r="H1526" s="375">
        <f t="shared" si="54"/>
        <v>0</v>
      </c>
      <c r="I1526" s="376"/>
    </row>
    <row r="1527" spans="1:9" x14ac:dyDescent="0.25">
      <c r="A1527" s="373">
        <v>158</v>
      </c>
      <c r="B1527" s="374">
        <f>Bil!C58</f>
        <v>47</v>
      </c>
      <c r="C1527" s="374">
        <f>Bil!D58</f>
        <v>0</v>
      </c>
      <c r="D1527" s="374">
        <f>Bil!E58</f>
        <v>0</v>
      </c>
      <c r="E1527" s="374"/>
      <c r="F1527" s="374"/>
      <c r="G1527" s="375">
        <f t="shared" si="53"/>
        <v>0</v>
      </c>
      <c r="H1527" s="375">
        <f t="shared" si="54"/>
        <v>0</v>
      </c>
      <c r="I1527" s="376"/>
    </row>
    <row r="1528" spans="1:9" x14ac:dyDescent="0.25">
      <c r="A1528" s="373">
        <v>158</v>
      </c>
      <c r="B1528" s="374">
        <f>Bil!C59</f>
        <v>48</v>
      </c>
      <c r="C1528" s="374">
        <f>Bil!D59</f>
        <v>73546</v>
      </c>
      <c r="D1528" s="374">
        <f>Bil!E59</f>
        <v>73705</v>
      </c>
      <c r="E1528" s="374"/>
      <c r="F1528" s="374"/>
      <c r="G1528" s="375">
        <f t="shared" si="53"/>
        <v>10605.888000000001</v>
      </c>
      <c r="H1528" s="375">
        <f t="shared" si="54"/>
        <v>0</v>
      </c>
      <c r="I1528" s="376"/>
    </row>
    <row r="1529" spans="1:9" x14ac:dyDescent="0.25">
      <c r="A1529" s="373">
        <v>158</v>
      </c>
      <c r="B1529" s="374">
        <f>Bil!C60</f>
        <v>49</v>
      </c>
      <c r="C1529" s="374">
        <f>Bil!D60</f>
        <v>73546</v>
      </c>
      <c r="D1529" s="374">
        <f>Bil!E60</f>
        <v>73705</v>
      </c>
      <c r="E1529" s="374"/>
      <c r="F1529" s="374"/>
      <c r="G1529" s="375">
        <f t="shared" si="53"/>
        <v>10826.844000000001</v>
      </c>
      <c r="H1529" s="375">
        <f t="shared" si="54"/>
        <v>0</v>
      </c>
      <c r="I1529" s="376"/>
    </row>
    <row r="1530" spans="1:9" x14ac:dyDescent="0.25">
      <c r="A1530" s="373">
        <v>158</v>
      </c>
      <c r="B1530" s="374">
        <f>Bil!C61</f>
        <v>50</v>
      </c>
      <c r="C1530" s="374">
        <f>Bil!D61</f>
        <v>469030</v>
      </c>
      <c r="D1530" s="374">
        <f>Bil!E61</f>
        <v>469030</v>
      </c>
      <c r="E1530" s="374"/>
      <c r="F1530" s="374"/>
      <c r="G1530" s="375">
        <f t="shared" si="53"/>
        <v>70354.5</v>
      </c>
      <c r="H1530" s="375">
        <f t="shared" si="54"/>
        <v>0</v>
      </c>
      <c r="I1530" s="376"/>
    </row>
    <row r="1531" spans="1:9" x14ac:dyDescent="0.25">
      <c r="A1531" s="373">
        <v>158</v>
      </c>
      <c r="B1531" s="374">
        <f>Bil!C62</f>
        <v>51</v>
      </c>
      <c r="C1531" s="374">
        <f>Bil!D62</f>
        <v>342225</v>
      </c>
      <c r="D1531" s="374">
        <f>Bil!E62</f>
        <v>342225</v>
      </c>
      <c r="E1531" s="374"/>
      <c r="F1531" s="374"/>
      <c r="G1531" s="375">
        <f t="shared" si="53"/>
        <v>52360.424999999996</v>
      </c>
      <c r="H1531" s="375">
        <f t="shared" si="54"/>
        <v>0</v>
      </c>
      <c r="I1531" s="376"/>
    </row>
    <row r="1532" spans="1:9" x14ac:dyDescent="0.25">
      <c r="A1532" s="373">
        <v>158</v>
      </c>
      <c r="B1532" s="374">
        <f>Bil!C63</f>
        <v>52</v>
      </c>
      <c r="C1532" s="374">
        <f>Bil!D63</f>
        <v>0</v>
      </c>
      <c r="D1532" s="374">
        <f>Bil!E63</f>
        <v>0</v>
      </c>
      <c r="E1532" s="374"/>
      <c r="F1532" s="374"/>
      <c r="G1532" s="375">
        <f t="shared" si="53"/>
        <v>0</v>
      </c>
      <c r="H1532" s="375">
        <f t="shared" si="54"/>
        <v>0</v>
      </c>
      <c r="I1532" s="376"/>
    </row>
    <row r="1533" spans="1:9" x14ac:dyDescent="0.25">
      <c r="A1533" s="373">
        <v>158</v>
      </c>
      <c r="B1533" s="374">
        <f>Bil!C64</f>
        <v>53</v>
      </c>
      <c r="C1533" s="374">
        <f>Bil!D64</f>
        <v>0</v>
      </c>
      <c r="D1533" s="374">
        <f>Bil!E64</f>
        <v>0</v>
      </c>
      <c r="E1533" s="374"/>
      <c r="F1533" s="374"/>
      <c r="G1533" s="375">
        <f t="shared" si="53"/>
        <v>0</v>
      </c>
      <c r="H1533" s="375">
        <f t="shared" si="54"/>
        <v>0</v>
      </c>
      <c r="I1533" s="376"/>
    </row>
    <row r="1534" spans="1:9" x14ac:dyDescent="0.25">
      <c r="A1534" s="373">
        <v>158</v>
      </c>
      <c r="B1534" s="374">
        <f>Bil!C65</f>
        <v>54</v>
      </c>
      <c r="C1534" s="374">
        <f>Bil!D65</f>
        <v>0</v>
      </c>
      <c r="D1534" s="374">
        <f>Bil!E65</f>
        <v>0</v>
      </c>
      <c r="E1534" s="374"/>
      <c r="F1534" s="374"/>
      <c r="G1534" s="375">
        <f t="shared" si="53"/>
        <v>0</v>
      </c>
      <c r="H1534" s="375">
        <f t="shared" si="54"/>
        <v>0</v>
      </c>
      <c r="I1534" s="376"/>
    </row>
    <row r="1535" spans="1:9" x14ac:dyDescent="0.25">
      <c r="A1535" s="373">
        <v>158</v>
      </c>
      <c r="B1535" s="374">
        <f>Bil!C66</f>
        <v>55</v>
      </c>
      <c r="C1535" s="374">
        <f>Bil!D66</f>
        <v>0</v>
      </c>
      <c r="D1535" s="374">
        <f>Bil!E66</f>
        <v>0</v>
      </c>
      <c r="E1535" s="374"/>
      <c r="F1535" s="374"/>
      <c r="G1535" s="375">
        <f t="shared" si="53"/>
        <v>0</v>
      </c>
      <c r="H1535" s="375">
        <f t="shared" si="54"/>
        <v>0</v>
      </c>
      <c r="I1535" s="376"/>
    </row>
    <row r="1536" spans="1:9" x14ac:dyDescent="0.25">
      <c r="A1536" s="373">
        <v>158</v>
      </c>
      <c r="B1536" s="374">
        <f>Bil!C67</f>
        <v>56</v>
      </c>
      <c r="C1536" s="374">
        <f>Bil!D67</f>
        <v>126805</v>
      </c>
      <c r="D1536" s="374">
        <f>Bil!E67</f>
        <v>126805</v>
      </c>
      <c r="E1536" s="374"/>
      <c r="F1536" s="374"/>
      <c r="G1536" s="375">
        <f t="shared" si="53"/>
        <v>21303.239999999998</v>
      </c>
      <c r="H1536" s="375">
        <f t="shared" si="54"/>
        <v>0</v>
      </c>
      <c r="I1536" s="376"/>
    </row>
    <row r="1537" spans="1:9" x14ac:dyDescent="0.25">
      <c r="A1537" s="373">
        <v>158</v>
      </c>
      <c r="B1537" s="374">
        <f>Bil!C68</f>
        <v>57</v>
      </c>
      <c r="C1537" s="374">
        <f>Bil!D68</f>
        <v>0</v>
      </c>
      <c r="D1537" s="374">
        <f>Bil!E68</f>
        <v>0</v>
      </c>
      <c r="E1537" s="374"/>
      <c r="F1537" s="374"/>
      <c r="G1537" s="375">
        <f t="shared" si="53"/>
        <v>0</v>
      </c>
      <c r="H1537" s="375">
        <f t="shared" si="54"/>
        <v>0</v>
      </c>
      <c r="I1537" s="376"/>
    </row>
    <row r="1538" spans="1:9" x14ac:dyDescent="0.25">
      <c r="A1538" s="373">
        <v>158</v>
      </c>
      <c r="B1538" s="374">
        <f>Bil!C69</f>
        <v>58</v>
      </c>
      <c r="C1538" s="374">
        <f>Bil!D69</f>
        <v>0</v>
      </c>
      <c r="D1538" s="374">
        <f>Bil!E69</f>
        <v>0</v>
      </c>
      <c r="E1538" s="374"/>
      <c r="F1538" s="374"/>
      <c r="G1538" s="375">
        <f t="shared" si="53"/>
        <v>0</v>
      </c>
      <c r="H1538" s="375">
        <f t="shared" si="54"/>
        <v>0</v>
      </c>
      <c r="I1538" s="376"/>
    </row>
    <row r="1539" spans="1:9" x14ac:dyDescent="0.25">
      <c r="A1539" s="373">
        <v>158</v>
      </c>
      <c r="B1539" s="374">
        <f>Bil!C70</f>
        <v>59</v>
      </c>
      <c r="C1539" s="374">
        <f>Bil!D70</f>
        <v>0</v>
      </c>
      <c r="D1539" s="374">
        <f>Bil!E70</f>
        <v>0</v>
      </c>
      <c r="E1539" s="374"/>
      <c r="F1539" s="374"/>
      <c r="G1539" s="375">
        <f t="shared" si="53"/>
        <v>0</v>
      </c>
      <c r="H1539" s="375">
        <f t="shared" si="54"/>
        <v>0</v>
      </c>
      <c r="I1539" s="376"/>
    </row>
    <row r="1540" spans="1:9" x14ac:dyDescent="0.25">
      <c r="A1540" s="373">
        <v>158</v>
      </c>
      <c r="B1540" s="374">
        <f>Bil!C71</f>
        <v>60</v>
      </c>
      <c r="C1540" s="374">
        <f>Bil!D71</f>
        <v>0</v>
      </c>
      <c r="D1540" s="374">
        <f>Bil!E71</f>
        <v>0</v>
      </c>
      <c r="E1540" s="374"/>
      <c r="F1540" s="374"/>
      <c r="G1540" s="375">
        <f t="shared" si="53"/>
        <v>0</v>
      </c>
      <c r="H1540" s="375">
        <f t="shared" si="54"/>
        <v>0</v>
      </c>
      <c r="I1540" s="376"/>
    </row>
    <row r="1541" spans="1:9" x14ac:dyDescent="0.25">
      <c r="A1541" s="373">
        <v>158</v>
      </c>
      <c r="B1541" s="374">
        <f>Bil!C72</f>
        <v>61</v>
      </c>
      <c r="C1541" s="374">
        <f>Bil!D72</f>
        <v>828635</v>
      </c>
      <c r="D1541" s="374">
        <f>Bil!E72</f>
        <v>864843</v>
      </c>
      <c r="E1541" s="374"/>
      <c r="F1541" s="374"/>
      <c r="G1541" s="375">
        <f t="shared" si="53"/>
        <v>156057.58100000001</v>
      </c>
      <c r="H1541" s="375">
        <f t="shared" si="54"/>
        <v>0</v>
      </c>
      <c r="I1541" s="376"/>
    </row>
    <row r="1542" spans="1:9" x14ac:dyDescent="0.25">
      <c r="A1542" s="373">
        <v>158</v>
      </c>
      <c r="B1542" s="374">
        <f>Bil!C73</f>
        <v>62</v>
      </c>
      <c r="C1542" s="374">
        <f>Bil!D73</f>
        <v>476121</v>
      </c>
      <c r="D1542" s="374">
        <f>Bil!E73</f>
        <v>437787</v>
      </c>
      <c r="E1542" s="374"/>
      <c r="F1542" s="374"/>
      <c r="G1542" s="375">
        <f t="shared" si="53"/>
        <v>83805.09</v>
      </c>
      <c r="H1542" s="375">
        <f t="shared" si="54"/>
        <v>0</v>
      </c>
      <c r="I1542" s="376"/>
    </row>
    <row r="1543" spans="1:9" x14ac:dyDescent="0.25">
      <c r="A1543" s="373">
        <v>158</v>
      </c>
      <c r="B1543" s="374">
        <f>Bil!C74</f>
        <v>63</v>
      </c>
      <c r="C1543" s="374">
        <f>Bil!D74</f>
        <v>475791</v>
      </c>
      <c r="D1543" s="374">
        <f>Bil!E74</f>
        <v>437439</v>
      </c>
      <c r="E1543" s="374"/>
      <c r="F1543" s="374"/>
      <c r="G1543" s="375">
        <f t="shared" si="53"/>
        <v>85092.146999999997</v>
      </c>
      <c r="H1543" s="375">
        <f t="shared" si="54"/>
        <v>0</v>
      </c>
      <c r="I1543" s="376"/>
    </row>
    <row r="1544" spans="1:9" x14ac:dyDescent="0.25">
      <c r="A1544" s="373">
        <v>158</v>
      </c>
      <c r="B1544" s="374">
        <f>Bil!C75</f>
        <v>64</v>
      </c>
      <c r="C1544" s="374">
        <f>Bil!D75</f>
        <v>0</v>
      </c>
      <c r="D1544" s="374">
        <f>Bil!E75</f>
        <v>0</v>
      </c>
      <c r="E1544" s="374"/>
      <c r="F1544" s="374"/>
      <c r="G1544" s="375">
        <f t="shared" si="53"/>
        <v>0</v>
      </c>
      <c r="H1544" s="375">
        <f t="shared" si="54"/>
        <v>0</v>
      </c>
      <c r="I1544" s="376"/>
    </row>
    <row r="1545" spans="1:9" x14ac:dyDescent="0.25">
      <c r="A1545" s="373">
        <v>158</v>
      </c>
      <c r="B1545" s="374">
        <f>Bil!C76</f>
        <v>65</v>
      </c>
      <c r="C1545" s="374">
        <f>Bil!D76</f>
        <v>330</v>
      </c>
      <c r="D1545" s="374">
        <f>Bil!E76</f>
        <v>348</v>
      </c>
      <c r="E1545" s="374"/>
      <c r="F1545" s="374"/>
      <c r="G1545" s="375">
        <f t="shared" si="53"/>
        <v>66.69</v>
      </c>
      <c r="H1545" s="375">
        <f t="shared" si="54"/>
        <v>0</v>
      </c>
      <c r="I1545" s="376"/>
    </row>
    <row r="1546" spans="1:9" x14ac:dyDescent="0.25">
      <c r="A1546" s="373">
        <v>158</v>
      </c>
      <c r="B1546" s="374">
        <f>Bil!C77</f>
        <v>66</v>
      </c>
      <c r="C1546" s="374">
        <f>Bil!D77</f>
        <v>0</v>
      </c>
      <c r="D1546" s="374">
        <f>Bil!E77</f>
        <v>0</v>
      </c>
      <c r="E1546" s="374"/>
      <c r="F1546" s="374"/>
      <c r="G1546" s="375">
        <f t="shared" si="53"/>
        <v>0</v>
      </c>
      <c r="H1546" s="375">
        <f t="shared" si="54"/>
        <v>0</v>
      </c>
      <c r="I1546" s="376"/>
    </row>
    <row r="1547" spans="1:9" x14ac:dyDescent="0.25">
      <c r="A1547" s="373">
        <v>158</v>
      </c>
      <c r="B1547" s="374">
        <f>Bil!C78</f>
        <v>67</v>
      </c>
      <c r="C1547" s="374">
        <f>Bil!D78</f>
        <v>781</v>
      </c>
      <c r="D1547" s="374">
        <f>Bil!E78</f>
        <v>781</v>
      </c>
      <c r="E1547" s="374"/>
      <c r="F1547" s="374"/>
      <c r="G1547" s="375">
        <f t="shared" si="53"/>
        <v>156.98100000000002</v>
      </c>
      <c r="H1547" s="375">
        <f t="shared" si="54"/>
        <v>0</v>
      </c>
      <c r="I1547" s="376"/>
    </row>
    <row r="1548" spans="1:9" x14ac:dyDescent="0.25">
      <c r="A1548" s="373">
        <v>158</v>
      </c>
      <c r="B1548" s="374">
        <f>Bil!C79</f>
        <v>68</v>
      </c>
      <c r="C1548" s="374">
        <f>Bil!D79</f>
        <v>0</v>
      </c>
      <c r="D1548" s="374">
        <f>Bil!E79</f>
        <v>0</v>
      </c>
      <c r="E1548" s="374"/>
      <c r="F1548" s="374"/>
      <c r="G1548" s="375">
        <f t="shared" ref="G1548:G1611" si="55">B1548/1000*C1548+B1548/500*D1548</f>
        <v>0</v>
      </c>
      <c r="H1548" s="375">
        <f t="shared" ref="H1548:H1611" si="56">ABS(C1548-ROUND(C1548,0))+ABS(D1548-ROUND(D1548,0))</f>
        <v>0</v>
      </c>
      <c r="I1548" s="376"/>
    </row>
    <row r="1549" spans="1:9" x14ac:dyDescent="0.25">
      <c r="A1549" s="373">
        <v>158</v>
      </c>
      <c r="B1549" s="374">
        <f>Bil!C80</f>
        <v>69</v>
      </c>
      <c r="C1549" s="374">
        <f>Bil!D80</f>
        <v>0</v>
      </c>
      <c r="D1549" s="374">
        <f>Bil!E80</f>
        <v>0</v>
      </c>
      <c r="E1549" s="374"/>
      <c r="F1549" s="374"/>
      <c r="G1549" s="375">
        <f t="shared" si="55"/>
        <v>0</v>
      </c>
      <c r="H1549" s="375">
        <f t="shared" si="56"/>
        <v>0</v>
      </c>
      <c r="I1549" s="376"/>
    </row>
    <row r="1550" spans="1:9" x14ac:dyDescent="0.25">
      <c r="A1550" s="373">
        <v>158</v>
      </c>
      <c r="B1550" s="374">
        <f>Bil!C81</f>
        <v>70</v>
      </c>
      <c r="C1550" s="374">
        <f>Bil!D81</f>
        <v>0</v>
      </c>
      <c r="D1550" s="374">
        <f>Bil!E81</f>
        <v>0</v>
      </c>
      <c r="E1550" s="374"/>
      <c r="F1550" s="374"/>
      <c r="G1550" s="375">
        <f t="shared" si="55"/>
        <v>0</v>
      </c>
      <c r="H1550" s="375">
        <f t="shared" si="56"/>
        <v>0</v>
      </c>
      <c r="I1550" s="376"/>
    </row>
    <row r="1551" spans="1:9" x14ac:dyDescent="0.25">
      <c r="A1551" s="373">
        <v>158</v>
      </c>
      <c r="B1551" s="374">
        <f>Bil!C82</f>
        <v>71</v>
      </c>
      <c r="C1551" s="374">
        <f>Bil!D82</f>
        <v>0</v>
      </c>
      <c r="D1551" s="374">
        <f>Bil!E82</f>
        <v>0</v>
      </c>
      <c r="E1551" s="374"/>
      <c r="F1551" s="374"/>
      <c r="G1551" s="375">
        <f t="shared" si="55"/>
        <v>0</v>
      </c>
      <c r="H1551" s="375">
        <f t="shared" si="56"/>
        <v>0</v>
      </c>
      <c r="I1551" s="376"/>
    </row>
    <row r="1552" spans="1:9" x14ac:dyDescent="0.25">
      <c r="A1552" s="373">
        <v>158</v>
      </c>
      <c r="B1552" s="374">
        <f>Bil!C83</f>
        <v>72</v>
      </c>
      <c r="C1552" s="374">
        <f>Bil!D83</f>
        <v>781</v>
      </c>
      <c r="D1552" s="374">
        <f>Bil!E83</f>
        <v>781</v>
      </c>
      <c r="E1552" s="374"/>
      <c r="F1552" s="374"/>
      <c r="G1552" s="375">
        <f t="shared" si="55"/>
        <v>168.69599999999997</v>
      </c>
      <c r="H1552" s="375">
        <f t="shared" si="56"/>
        <v>0</v>
      </c>
      <c r="I1552" s="376"/>
    </row>
    <row r="1553" spans="1:9" x14ac:dyDescent="0.25">
      <c r="A1553" s="373">
        <v>158</v>
      </c>
      <c r="B1553" s="374">
        <f>Bil!C84</f>
        <v>73</v>
      </c>
      <c r="C1553" s="374">
        <f>Bil!D84</f>
        <v>0</v>
      </c>
      <c r="D1553" s="374">
        <f>Bil!E84</f>
        <v>0</v>
      </c>
      <c r="E1553" s="374"/>
      <c r="F1553" s="374"/>
      <c r="G1553" s="375">
        <f t="shared" si="55"/>
        <v>0</v>
      </c>
      <c r="H1553" s="375">
        <f t="shared" si="56"/>
        <v>0</v>
      </c>
      <c r="I1553" s="376"/>
    </row>
    <row r="1554" spans="1:9" x14ac:dyDescent="0.25">
      <c r="A1554" s="373">
        <v>158</v>
      </c>
      <c r="B1554" s="374">
        <f>Bil!C85</f>
        <v>74</v>
      </c>
      <c r="C1554" s="374">
        <f>Bil!D85</f>
        <v>0</v>
      </c>
      <c r="D1554" s="374">
        <f>Bil!E85</f>
        <v>0</v>
      </c>
      <c r="E1554" s="374"/>
      <c r="F1554" s="374"/>
      <c r="G1554" s="375">
        <f t="shared" si="55"/>
        <v>0</v>
      </c>
      <c r="H1554" s="375">
        <f t="shared" si="56"/>
        <v>0</v>
      </c>
      <c r="I1554" s="376"/>
    </row>
    <row r="1555" spans="1:9" x14ac:dyDescent="0.25">
      <c r="A1555" s="373">
        <v>158</v>
      </c>
      <c r="B1555" s="374">
        <f>Bil!C86</f>
        <v>75</v>
      </c>
      <c r="C1555" s="374">
        <f>Bil!D86</f>
        <v>0</v>
      </c>
      <c r="D1555" s="374">
        <f>Bil!E86</f>
        <v>0</v>
      </c>
      <c r="E1555" s="374"/>
      <c r="F1555" s="374"/>
      <c r="G1555" s="375">
        <f t="shared" si="55"/>
        <v>0</v>
      </c>
      <c r="H1555" s="375">
        <f t="shared" si="56"/>
        <v>0</v>
      </c>
      <c r="I1555" s="376"/>
    </row>
    <row r="1556" spans="1:9" x14ac:dyDescent="0.25">
      <c r="A1556" s="373">
        <v>158</v>
      </c>
      <c r="B1556" s="374">
        <f>Bil!C87</f>
        <v>76</v>
      </c>
      <c r="C1556" s="374">
        <f>Bil!D87</f>
        <v>0</v>
      </c>
      <c r="D1556" s="374">
        <f>Bil!E87</f>
        <v>0</v>
      </c>
      <c r="E1556" s="374"/>
      <c r="F1556" s="374"/>
      <c r="G1556" s="375">
        <f t="shared" si="55"/>
        <v>0</v>
      </c>
      <c r="H1556" s="375">
        <f t="shared" si="56"/>
        <v>0</v>
      </c>
      <c r="I1556" s="376"/>
    </row>
    <row r="1557" spans="1:9" x14ac:dyDescent="0.25">
      <c r="A1557" s="373">
        <v>158</v>
      </c>
      <c r="B1557" s="374">
        <f>Bil!C88</f>
        <v>77</v>
      </c>
      <c r="C1557" s="374">
        <f>Bil!D88</f>
        <v>0</v>
      </c>
      <c r="D1557" s="374">
        <f>Bil!E88</f>
        <v>0</v>
      </c>
      <c r="E1557" s="374"/>
      <c r="F1557" s="374"/>
      <c r="G1557" s="375">
        <f t="shared" si="55"/>
        <v>0</v>
      </c>
      <c r="H1557" s="375">
        <f t="shared" si="56"/>
        <v>0</v>
      </c>
      <c r="I1557" s="376"/>
    </row>
    <row r="1558" spans="1:9" x14ac:dyDescent="0.25">
      <c r="A1558" s="373">
        <v>158</v>
      </c>
      <c r="B1558" s="374">
        <f>Bil!C89</f>
        <v>78</v>
      </c>
      <c r="C1558" s="374">
        <f>Bil!D89</f>
        <v>0</v>
      </c>
      <c r="D1558" s="374">
        <f>Bil!E89</f>
        <v>0</v>
      </c>
      <c r="E1558" s="374"/>
      <c r="F1558" s="374"/>
      <c r="G1558" s="375">
        <f t="shared" si="55"/>
        <v>0</v>
      </c>
      <c r="H1558" s="375">
        <f t="shared" si="56"/>
        <v>0</v>
      </c>
      <c r="I1558" s="376"/>
    </row>
    <row r="1559" spans="1:9" x14ac:dyDescent="0.25">
      <c r="A1559" s="373">
        <v>158</v>
      </c>
      <c r="B1559" s="374">
        <f>Bil!C90</f>
        <v>79</v>
      </c>
      <c r="C1559" s="374">
        <f>Bil!D90</f>
        <v>0</v>
      </c>
      <c r="D1559" s="374">
        <f>Bil!E90</f>
        <v>0</v>
      </c>
      <c r="E1559" s="374"/>
      <c r="F1559" s="374"/>
      <c r="G1559" s="375">
        <f t="shared" si="55"/>
        <v>0</v>
      </c>
      <c r="H1559" s="375">
        <f t="shared" si="56"/>
        <v>0</v>
      </c>
      <c r="I1559" s="376"/>
    </row>
    <row r="1560" spans="1:9" x14ac:dyDescent="0.25">
      <c r="A1560" s="373">
        <v>158</v>
      </c>
      <c r="B1560" s="374">
        <f>Bil!C91</f>
        <v>80</v>
      </c>
      <c r="C1560" s="374">
        <f>Bil!D91</f>
        <v>0</v>
      </c>
      <c r="D1560" s="374">
        <f>Bil!E91</f>
        <v>0</v>
      </c>
      <c r="E1560" s="374"/>
      <c r="F1560" s="374"/>
      <c r="G1560" s="375">
        <f t="shared" si="55"/>
        <v>0</v>
      </c>
      <c r="H1560" s="375">
        <f t="shared" si="56"/>
        <v>0</v>
      </c>
      <c r="I1560" s="376"/>
    </row>
    <row r="1561" spans="1:9" x14ac:dyDescent="0.25">
      <c r="A1561" s="373">
        <v>158</v>
      </c>
      <c r="B1561" s="374">
        <f>Bil!C92</f>
        <v>81</v>
      </c>
      <c r="C1561" s="374">
        <f>Bil!D92</f>
        <v>0</v>
      </c>
      <c r="D1561" s="374">
        <f>Bil!E92</f>
        <v>0</v>
      </c>
      <c r="E1561" s="374"/>
      <c r="F1561" s="374"/>
      <c r="G1561" s="375">
        <f t="shared" si="55"/>
        <v>0</v>
      </c>
      <c r="H1561" s="375">
        <f t="shared" si="56"/>
        <v>0</v>
      </c>
      <c r="I1561" s="376"/>
    </row>
    <row r="1562" spans="1:9" x14ac:dyDescent="0.25">
      <c r="A1562" s="373">
        <v>158</v>
      </c>
      <c r="B1562" s="374">
        <f>Bil!C93</f>
        <v>82</v>
      </c>
      <c r="C1562" s="374">
        <f>Bil!D93</f>
        <v>0</v>
      </c>
      <c r="D1562" s="374">
        <f>Bil!E93</f>
        <v>0</v>
      </c>
      <c r="E1562" s="374"/>
      <c r="F1562" s="374"/>
      <c r="G1562" s="375">
        <f t="shared" si="55"/>
        <v>0</v>
      </c>
      <c r="H1562" s="375">
        <f t="shared" si="56"/>
        <v>0</v>
      </c>
      <c r="I1562" s="376"/>
    </row>
    <row r="1563" spans="1:9" x14ac:dyDescent="0.25">
      <c r="A1563" s="373">
        <v>158</v>
      </c>
      <c r="B1563" s="374">
        <f>Bil!C94</f>
        <v>83</v>
      </c>
      <c r="C1563" s="374">
        <f>Bil!D94</f>
        <v>0</v>
      </c>
      <c r="D1563" s="374">
        <f>Bil!E94</f>
        <v>0</v>
      </c>
      <c r="E1563" s="374"/>
      <c r="F1563" s="374"/>
      <c r="G1563" s="375">
        <f t="shared" si="55"/>
        <v>0</v>
      </c>
      <c r="H1563" s="375">
        <f t="shared" si="56"/>
        <v>0</v>
      </c>
      <c r="I1563" s="376"/>
    </row>
    <row r="1564" spans="1:9" x14ac:dyDescent="0.25">
      <c r="A1564" s="373">
        <v>158</v>
      </c>
      <c r="B1564" s="374">
        <f>Bil!C95</f>
        <v>84</v>
      </c>
      <c r="C1564" s="374">
        <f>Bil!D95</f>
        <v>0</v>
      </c>
      <c r="D1564" s="374">
        <f>Bil!E95</f>
        <v>0</v>
      </c>
      <c r="E1564" s="374"/>
      <c r="F1564" s="374"/>
      <c r="G1564" s="375">
        <f t="shared" si="55"/>
        <v>0</v>
      </c>
      <c r="H1564" s="375">
        <f t="shared" si="56"/>
        <v>0</v>
      </c>
      <c r="I1564" s="376"/>
    </row>
    <row r="1565" spans="1:9" x14ac:dyDescent="0.25">
      <c r="A1565" s="373">
        <v>158</v>
      </c>
      <c r="B1565" s="374">
        <f>Bil!C96</f>
        <v>85</v>
      </c>
      <c r="C1565" s="374">
        <f>Bil!D96</f>
        <v>0</v>
      </c>
      <c r="D1565" s="374">
        <f>Bil!E96</f>
        <v>0</v>
      </c>
      <c r="E1565" s="374"/>
      <c r="F1565" s="374"/>
      <c r="G1565" s="375">
        <f t="shared" si="55"/>
        <v>0</v>
      </c>
      <c r="H1565" s="375">
        <f t="shared" si="56"/>
        <v>0</v>
      </c>
      <c r="I1565" s="376"/>
    </row>
    <row r="1566" spans="1:9" x14ac:dyDescent="0.25">
      <c r="A1566" s="373">
        <v>158</v>
      </c>
      <c r="B1566" s="374">
        <f>Bil!C97</f>
        <v>86</v>
      </c>
      <c r="C1566" s="374">
        <f>Bil!D97</f>
        <v>0</v>
      </c>
      <c r="D1566" s="374">
        <f>Bil!E97</f>
        <v>0</v>
      </c>
      <c r="E1566" s="374"/>
      <c r="F1566" s="374"/>
      <c r="G1566" s="375">
        <f t="shared" si="55"/>
        <v>0</v>
      </c>
      <c r="H1566" s="375">
        <f t="shared" si="56"/>
        <v>0</v>
      </c>
      <c r="I1566" s="376"/>
    </row>
    <row r="1567" spans="1:9" x14ac:dyDescent="0.25">
      <c r="A1567" s="373">
        <v>158</v>
      </c>
      <c r="B1567" s="374">
        <f>Bil!C98</f>
        <v>87</v>
      </c>
      <c r="C1567" s="374">
        <f>Bil!D98</f>
        <v>0</v>
      </c>
      <c r="D1567" s="374">
        <f>Bil!E98</f>
        <v>0</v>
      </c>
      <c r="E1567" s="374"/>
      <c r="F1567" s="374"/>
      <c r="G1567" s="375">
        <f t="shared" si="55"/>
        <v>0</v>
      </c>
      <c r="H1567" s="375">
        <f t="shared" si="56"/>
        <v>0</v>
      </c>
      <c r="I1567" s="376"/>
    </row>
    <row r="1568" spans="1:9" x14ac:dyDescent="0.25">
      <c r="A1568" s="373">
        <v>158</v>
      </c>
      <c r="B1568" s="374">
        <f>Bil!C99</f>
        <v>88</v>
      </c>
      <c r="C1568" s="374">
        <f>Bil!D99</f>
        <v>0</v>
      </c>
      <c r="D1568" s="374">
        <f>Bil!E99</f>
        <v>0</v>
      </c>
      <c r="E1568" s="374"/>
      <c r="F1568" s="374"/>
      <c r="G1568" s="375">
        <f t="shared" si="55"/>
        <v>0</v>
      </c>
      <c r="H1568" s="375">
        <f t="shared" si="56"/>
        <v>0</v>
      </c>
      <c r="I1568" s="376"/>
    </row>
    <row r="1569" spans="1:9" x14ac:dyDescent="0.25">
      <c r="A1569" s="373">
        <v>158</v>
      </c>
      <c r="B1569" s="374">
        <f>Bil!C100</f>
        <v>89</v>
      </c>
      <c r="C1569" s="374">
        <f>Bil!D100</f>
        <v>0</v>
      </c>
      <c r="D1569" s="374">
        <f>Bil!E100</f>
        <v>0</v>
      </c>
      <c r="E1569" s="374"/>
      <c r="F1569" s="374"/>
      <c r="G1569" s="375">
        <f t="shared" si="55"/>
        <v>0</v>
      </c>
      <c r="H1569" s="375">
        <f t="shared" si="56"/>
        <v>0</v>
      </c>
      <c r="I1569" s="376"/>
    </row>
    <row r="1570" spans="1:9" x14ac:dyDescent="0.25">
      <c r="A1570" s="373">
        <v>158</v>
      </c>
      <c r="B1570" s="374">
        <f>Bil!C101</f>
        <v>90</v>
      </c>
      <c r="C1570" s="374">
        <f>Bil!D101</f>
        <v>0</v>
      </c>
      <c r="D1570" s="374">
        <f>Bil!E101</f>
        <v>0</v>
      </c>
      <c r="E1570" s="374"/>
      <c r="F1570" s="374"/>
      <c r="G1570" s="375">
        <f t="shared" si="55"/>
        <v>0</v>
      </c>
      <c r="H1570" s="375">
        <f t="shared" si="56"/>
        <v>0</v>
      </c>
      <c r="I1570" s="376"/>
    </row>
    <row r="1571" spans="1:9" x14ac:dyDescent="0.25">
      <c r="A1571" s="373">
        <v>158</v>
      </c>
      <c r="B1571" s="374">
        <f>Bil!C102</f>
        <v>91</v>
      </c>
      <c r="C1571" s="374">
        <f>Bil!D102</f>
        <v>0</v>
      </c>
      <c r="D1571" s="374">
        <f>Bil!E102</f>
        <v>0</v>
      </c>
      <c r="E1571" s="374"/>
      <c r="F1571" s="374"/>
      <c r="G1571" s="375">
        <f t="shared" si="55"/>
        <v>0</v>
      </c>
      <c r="H1571" s="375">
        <f t="shared" si="56"/>
        <v>0</v>
      </c>
      <c r="I1571" s="376"/>
    </row>
    <row r="1572" spans="1:9" x14ac:dyDescent="0.25">
      <c r="A1572" s="373">
        <v>158</v>
      </c>
      <c r="B1572" s="374">
        <f>Bil!C103</f>
        <v>92</v>
      </c>
      <c r="C1572" s="374">
        <f>Bil!D103</f>
        <v>0</v>
      </c>
      <c r="D1572" s="374">
        <f>Bil!E103</f>
        <v>0</v>
      </c>
      <c r="E1572" s="374"/>
      <c r="F1572" s="374"/>
      <c r="G1572" s="375">
        <f t="shared" si="55"/>
        <v>0</v>
      </c>
      <c r="H1572" s="375">
        <f t="shared" si="56"/>
        <v>0</v>
      </c>
      <c r="I1572" s="376"/>
    </row>
    <row r="1573" spans="1:9" x14ac:dyDescent="0.25">
      <c r="A1573" s="373">
        <v>158</v>
      </c>
      <c r="B1573" s="374">
        <f>Bil!C104</f>
        <v>93</v>
      </c>
      <c r="C1573" s="374">
        <f>Bil!D104</f>
        <v>0</v>
      </c>
      <c r="D1573" s="374">
        <f>Bil!E104</f>
        <v>0</v>
      </c>
      <c r="E1573" s="374"/>
      <c r="F1573" s="374"/>
      <c r="G1573" s="375">
        <f t="shared" si="55"/>
        <v>0</v>
      </c>
      <c r="H1573" s="375">
        <f t="shared" si="56"/>
        <v>0</v>
      </c>
      <c r="I1573" s="376"/>
    </row>
    <row r="1574" spans="1:9" x14ac:dyDescent="0.25">
      <c r="A1574" s="373">
        <v>158</v>
      </c>
      <c r="B1574" s="374">
        <f>Bil!C105</f>
        <v>94</v>
      </c>
      <c r="C1574" s="374">
        <f>Bil!D105</f>
        <v>0</v>
      </c>
      <c r="D1574" s="374">
        <f>Bil!E105</f>
        <v>0</v>
      </c>
      <c r="E1574" s="374"/>
      <c r="F1574" s="374"/>
      <c r="G1574" s="375">
        <f t="shared" si="55"/>
        <v>0</v>
      </c>
      <c r="H1574" s="375">
        <f t="shared" si="56"/>
        <v>0</v>
      </c>
      <c r="I1574" s="376"/>
    </row>
    <row r="1575" spans="1:9" x14ac:dyDescent="0.25">
      <c r="A1575" s="373">
        <v>158</v>
      </c>
      <c r="B1575" s="374">
        <f>Bil!C106</f>
        <v>95</v>
      </c>
      <c r="C1575" s="374">
        <f>Bil!D106</f>
        <v>0</v>
      </c>
      <c r="D1575" s="374">
        <f>Bil!E106</f>
        <v>0</v>
      </c>
      <c r="E1575" s="374"/>
      <c r="F1575" s="374"/>
      <c r="G1575" s="375">
        <f t="shared" si="55"/>
        <v>0</v>
      </c>
      <c r="H1575" s="375">
        <f t="shared" si="56"/>
        <v>0</v>
      </c>
      <c r="I1575" s="376"/>
    </row>
    <row r="1576" spans="1:9" x14ac:dyDescent="0.25">
      <c r="A1576" s="373">
        <v>158</v>
      </c>
      <c r="B1576" s="374">
        <f>Bil!C107</f>
        <v>96</v>
      </c>
      <c r="C1576" s="374">
        <f>Bil!D107</f>
        <v>0</v>
      </c>
      <c r="D1576" s="374">
        <f>Bil!E107</f>
        <v>0</v>
      </c>
      <c r="E1576" s="374"/>
      <c r="F1576" s="374"/>
      <c r="G1576" s="375">
        <f t="shared" si="55"/>
        <v>0</v>
      </c>
      <c r="H1576" s="375">
        <f t="shared" si="56"/>
        <v>0</v>
      </c>
      <c r="I1576" s="376"/>
    </row>
    <row r="1577" spans="1:9" x14ac:dyDescent="0.25">
      <c r="A1577" s="373">
        <v>158</v>
      </c>
      <c r="B1577" s="374">
        <f>Bil!C108</f>
        <v>97</v>
      </c>
      <c r="C1577" s="374">
        <f>Bil!D108</f>
        <v>0</v>
      </c>
      <c r="D1577" s="374">
        <f>Bil!E108</f>
        <v>0</v>
      </c>
      <c r="E1577" s="374"/>
      <c r="F1577" s="374"/>
      <c r="G1577" s="375">
        <f t="shared" si="55"/>
        <v>0</v>
      </c>
      <c r="H1577" s="375">
        <f t="shared" si="56"/>
        <v>0</v>
      </c>
      <c r="I1577" s="376"/>
    </row>
    <row r="1578" spans="1:9" x14ac:dyDescent="0.25">
      <c r="A1578" s="373">
        <v>158</v>
      </c>
      <c r="B1578" s="374">
        <f>Bil!C109</f>
        <v>98</v>
      </c>
      <c r="C1578" s="374">
        <f>Bil!D109</f>
        <v>0</v>
      </c>
      <c r="D1578" s="374">
        <f>Bil!E109</f>
        <v>0</v>
      </c>
      <c r="E1578" s="374"/>
      <c r="F1578" s="374"/>
      <c r="G1578" s="375">
        <f t="shared" si="55"/>
        <v>0</v>
      </c>
      <c r="H1578" s="375">
        <f t="shared" si="56"/>
        <v>0</v>
      </c>
      <c r="I1578" s="376"/>
    </row>
    <row r="1579" spans="1:9" x14ac:dyDescent="0.25">
      <c r="A1579" s="373">
        <v>158</v>
      </c>
      <c r="B1579" s="374">
        <f>Bil!C110</f>
        <v>99</v>
      </c>
      <c r="C1579" s="374">
        <f>Bil!D110</f>
        <v>0</v>
      </c>
      <c r="D1579" s="374">
        <f>Bil!E110</f>
        <v>0</v>
      </c>
      <c r="E1579" s="374"/>
      <c r="F1579" s="374"/>
      <c r="G1579" s="375">
        <f t="shared" si="55"/>
        <v>0</v>
      </c>
      <c r="H1579" s="375">
        <f t="shared" si="56"/>
        <v>0</v>
      </c>
      <c r="I1579" s="376"/>
    </row>
    <row r="1580" spans="1:9" x14ac:dyDescent="0.25">
      <c r="A1580" s="373">
        <v>158</v>
      </c>
      <c r="B1580" s="374">
        <f>Bil!C111</f>
        <v>100</v>
      </c>
      <c r="C1580" s="374">
        <f>Bil!D111</f>
        <v>0</v>
      </c>
      <c r="D1580" s="374">
        <f>Bil!E111</f>
        <v>0</v>
      </c>
      <c r="E1580" s="374"/>
      <c r="F1580" s="374"/>
      <c r="G1580" s="375">
        <f t="shared" si="55"/>
        <v>0</v>
      </c>
      <c r="H1580" s="375">
        <f t="shared" si="56"/>
        <v>0</v>
      </c>
      <c r="I1580" s="376"/>
    </row>
    <row r="1581" spans="1:9" x14ac:dyDescent="0.25">
      <c r="A1581" s="373">
        <v>158</v>
      </c>
      <c r="B1581" s="374">
        <f>Bil!C112</f>
        <v>101</v>
      </c>
      <c r="C1581" s="374">
        <f>Bil!D112</f>
        <v>0</v>
      </c>
      <c r="D1581" s="374">
        <f>Bil!E112</f>
        <v>0</v>
      </c>
      <c r="E1581" s="374"/>
      <c r="F1581" s="374"/>
      <c r="G1581" s="375">
        <f t="shared" si="55"/>
        <v>0</v>
      </c>
      <c r="H1581" s="375">
        <f t="shared" si="56"/>
        <v>0</v>
      </c>
      <c r="I1581" s="376"/>
    </row>
    <row r="1582" spans="1:9" x14ac:dyDescent="0.25">
      <c r="A1582" s="373">
        <v>158</v>
      </c>
      <c r="B1582" s="374">
        <f>Bil!C113</f>
        <v>102</v>
      </c>
      <c r="C1582" s="374">
        <f>Bil!D113</f>
        <v>0</v>
      </c>
      <c r="D1582" s="374">
        <f>Bil!E113</f>
        <v>0</v>
      </c>
      <c r="E1582" s="374"/>
      <c r="F1582" s="374"/>
      <c r="G1582" s="375">
        <f t="shared" si="55"/>
        <v>0</v>
      </c>
      <c r="H1582" s="375">
        <f t="shared" si="56"/>
        <v>0</v>
      </c>
      <c r="I1582" s="376"/>
    </row>
    <row r="1583" spans="1:9" x14ac:dyDescent="0.25">
      <c r="A1583" s="373">
        <v>158</v>
      </c>
      <c r="B1583" s="374">
        <f>Bil!C114</f>
        <v>103</v>
      </c>
      <c r="C1583" s="374">
        <f>Bil!D114</f>
        <v>0</v>
      </c>
      <c r="D1583" s="374">
        <f>Bil!E114</f>
        <v>0</v>
      </c>
      <c r="E1583" s="374"/>
      <c r="F1583" s="374"/>
      <c r="G1583" s="375">
        <f t="shared" si="55"/>
        <v>0</v>
      </c>
      <c r="H1583" s="375">
        <f t="shared" si="56"/>
        <v>0</v>
      </c>
      <c r="I1583" s="376"/>
    </row>
    <row r="1584" spans="1:9" x14ac:dyDescent="0.25">
      <c r="A1584" s="373">
        <v>158</v>
      </c>
      <c r="B1584" s="374">
        <f>Bil!C115</f>
        <v>104</v>
      </c>
      <c r="C1584" s="374">
        <f>Bil!D115</f>
        <v>0</v>
      </c>
      <c r="D1584" s="374">
        <f>Bil!E115</f>
        <v>0</v>
      </c>
      <c r="E1584" s="374"/>
      <c r="F1584" s="374"/>
      <c r="G1584" s="375">
        <f t="shared" si="55"/>
        <v>0</v>
      </c>
      <c r="H1584" s="375">
        <f t="shared" si="56"/>
        <v>0</v>
      </c>
      <c r="I1584" s="376"/>
    </row>
    <row r="1585" spans="1:9" x14ac:dyDescent="0.25">
      <c r="A1585" s="373">
        <v>158</v>
      </c>
      <c r="B1585" s="374">
        <f>Bil!C116</f>
        <v>105</v>
      </c>
      <c r="C1585" s="374">
        <f>Bil!D116</f>
        <v>0</v>
      </c>
      <c r="D1585" s="374">
        <f>Bil!E116</f>
        <v>0</v>
      </c>
      <c r="E1585" s="374"/>
      <c r="F1585" s="374"/>
      <c r="G1585" s="375">
        <f t="shared" si="55"/>
        <v>0</v>
      </c>
      <c r="H1585" s="375">
        <f t="shared" si="56"/>
        <v>0</v>
      </c>
      <c r="I1585" s="376"/>
    </row>
    <row r="1586" spans="1:9" x14ac:dyDescent="0.25">
      <c r="A1586" s="373">
        <v>158</v>
      </c>
      <c r="B1586" s="374">
        <f>Bil!C117</f>
        <v>106</v>
      </c>
      <c r="C1586" s="374">
        <f>Bil!D117</f>
        <v>0</v>
      </c>
      <c r="D1586" s="374">
        <f>Bil!E117</f>
        <v>0</v>
      </c>
      <c r="E1586" s="374"/>
      <c r="F1586" s="374"/>
      <c r="G1586" s="375">
        <f t="shared" si="55"/>
        <v>0</v>
      </c>
      <c r="H1586" s="375">
        <f t="shared" si="56"/>
        <v>0</v>
      </c>
      <c r="I1586" s="376"/>
    </row>
    <row r="1587" spans="1:9" x14ac:dyDescent="0.25">
      <c r="A1587" s="373">
        <v>158</v>
      </c>
      <c r="B1587" s="374">
        <f>Bil!C118</f>
        <v>107</v>
      </c>
      <c r="C1587" s="374">
        <f>Bil!D118</f>
        <v>0</v>
      </c>
      <c r="D1587" s="374">
        <f>Bil!E118</f>
        <v>0</v>
      </c>
      <c r="E1587" s="374"/>
      <c r="F1587" s="374"/>
      <c r="G1587" s="375">
        <f t="shared" si="55"/>
        <v>0</v>
      </c>
      <c r="H1587" s="375">
        <f t="shared" si="56"/>
        <v>0</v>
      </c>
      <c r="I1587" s="376"/>
    </row>
    <row r="1588" spans="1:9" x14ac:dyDescent="0.25">
      <c r="A1588" s="373">
        <v>158</v>
      </c>
      <c r="B1588" s="374">
        <f>Bil!C119</f>
        <v>108</v>
      </c>
      <c r="C1588" s="374">
        <f>Bil!D119</f>
        <v>0</v>
      </c>
      <c r="D1588" s="374">
        <f>Bil!E119</f>
        <v>0</v>
      </c>
      <c r="E1588" s="374"/>
      <c r="F1588" s="374"/>
      <c r="G1588" s="375">
        <f t="shared" si="55"/>
        <v>0</v>
      </c>
      <c r="H1588" s="375">
        <f t="shared" si="56"/>
        <v>0</v>
      </c>
      <c r="I1588" s="376"/>
    </row>
    <row r="1589" spans="1:9" x14ac:dyDescent="0.25">
      <c r="A1589" s="373">
        <v>158</v>
      </c>
      <c r="B1589" s="374">
        <f>Bil!C120</f>
        <v>109</v>
      </c>
      <c r="C1589" s="374">
        <f>Bil!D120</f>
        <v>0</v>
      </c>
      <c r="D1589" s="374">
        <f>Bil!E120</f>
        <v>0</v>
      </c>
      <c r="E1589" s="374"/>
      <c r="F1589" s="374"/>
      <c r="G1589" s="375">
        <f t="shared" si="55"/>
        <v>0</v>
      </c>
      <c r="H1589" s="375">
        <f t="shared" si="56"/>
        <v>0</v>
      </c>
      <c r="I1589" s="376"/>
    </row>
    <row r="1590" spans="1:9" x14ac:dyDescent="0.25">
      <c r="A1590" s="373">
        <v>158</v>
      </c>
      <c r="B1590" s="374">
        <f>Bil!C121</f>
        <v>110</v>
      </c>
      <c r="C1590" s="374">
        <f>Bil!D121</f>
        <v>0</v>
      </c>
      <c r="D1590" s="374">
        <f>Bil!E121</f>
        <v>0</v>
      </c>
      <c r="E1590" s="374"/>
      <c r="F1590" s="374"/>
      <c r="G1590" s="375">
        <f t="shared" si="55"/>
        <v>0</v>
      </c>
      <c r="H1590" s="375">
        <f t="shared" si="56"/>
        <v>0</v>
      </c>
      <c r="I1590" s="376"/>
    </row>
    <row r="1591" spans="1:9" x14ac:dyDescent="0.25">
      <c r="A1591" s="373">
        <v>158</v>
      </c>
      <c r="B1591" s="374">
        <f>Bil!C122</f>
        <v>111</v>
      </c>
      <c r="C1591" s="374">
        <f>Bil!D122</f>
        <v>0</v>
      </c>
      <c r="D1591" s="374">
        <f>Bil!E122</f>
        <v>0</v>
      </c>
      <c r="E1591" s="374"/>
      <c r="F1591" s="374"/>
      <c r="G1591" s="375">
        <f t="shared" si="55"/>
        <v>0</v>
      </c>
      <c r="H1591" s="375">
        <f t="shared" si="56"/>
        <v>0</v>
      </c>
      <c r="I1591" s="376"/>
    </row>
    <row r="1592" spans="1:9" x14ac:dyDescent="0.25">
      <c r="A1592" s="373">
        <v>158</v>
      </c>
      <c r="B1592" s="374">
        <f>Bil!C123</f>
        <v>112</v>
      </c>
      <c r="C1592" s="374">
        <f>Bil!D123</f>
        <v>0</v>
      </c>
      <c r="D1592" s="374">
        <f>Bil!E123</f>
        <v>0</v>
      </c>
      <c r="E1592" s="374"/>
      <c r="F1592" s="374"/>
      <c r="G1592" s="375">
        <f t="shared" si="55"/>
        <v>0</v>
      </c>
      <c r="H1592" s="375">
        <f t="shared" si="56"/>
        <v>0</v>
      </c>
      <c r="I1592" s="376"/>
    </row>
    <row r="1593" spans="1:9" x14ac:dyDescent="0.25">
      <c r="A1593" s="373">
        <v>158</v>
      </c>
      <c r="B1593" s="374">
        <f>Bil!C124</f>
        <v>113</v>
      </c>
      <c r="C1593" s="374">
        <f>Bil!D124</f>
        <v>0</v>
      </c>
      <c r="D1593" s="374">
        <f>Bil!E124</f>
        <v>0</v>
      </c>
      <c r="E1593" s="374"/>
      <c r="F1593" s="374"/>
      <c r="G1593" s="375">
        <f t="shared" si="55"/>
        <v>0</v>
      </c>
      <c r="H1593" s="375">
        <f t="shared" si="56"/>
        <v>0</v>
      </c>
      <c r="I1593" s="376"/>
    </row>
    <row r="1594" spans="1:9" x14ac:dyDescent="0.25">
      <c r="A1594" s="373">
        <v>158</v>
      </c>
      <c r="B1594" s="374">
        <f>Bil!C125</f>
        <v>114</v>
      </c>
      <c r="C1594" s="374">
        <f>Bil!D125</f>
        <v>0</v>
      </c>
      <c r="D1594" s="374">
        <f>Bil!E125</f>
        <v>0</v>
      </c>
      <c r="E1594" s="374"/>
      <c r="F1594" s="374"/>
      <c r="G1594" s="375">
        <f t="shared" si="55"/>
        <v>0</v>
      </c>
      <c r="H1594" s="375">
        <f t="shared" si="56"/>
        <v>0</v>
      </c>
      <c r="I1594" s="376"/>
    </row>
    <row r="1595" spans="1:9" x14ac:dyDescent="0.25">
      <c r="A1595" s="373">
        <v>158</v>
      </c>
      <c r="B1595" s="374">
        <f>Bil!C126</f>
        <v>115</v>
      </c>
      <c r="C1595" s="374">
        <f>Bil!D126</f>
        <v>0</v>
      </c>
      <c r="D1595" s="374">
        <f>Bil!E126</f>
        <v>0</v>
      </c>
      <c r="E1595" s="374"/>
      <c r="F1595" s="374"/>
      <c r="G1595" s="375">
        <f t="shared" si="55"/>
        <v>0</v>
      </c>
      <c r="H1595" s="375">
        <f t="shared" si="56"/>
        <v>0</v>
      </c>
      <c r="I1595" s="376"/>
    </row>
    <row r="1596" spans="1:9" x14ac:dyDescent="0.25">
      <c r="A1596" s="373">
        <v>158</v>
      </c>
      <c r="B1596" s="374">
        <f>Bil!C127</f>
        <v>116</v>
      </c>
      <c r="C1596" s="374">
        <f>Bil!D127</f>
        <v>0</v>
      </c>
      <c r="D1596" s="374">
        <f>Bil!E127</f>
        <v>0</v>
      </c>
      <c r="E1596" s="374"/>
      <c r="F1596" s="374"/>
      <c r="G1596" s="375">
        <f t="shared" si="55"/>
        <v>0</v>
      </c>
      <c r="H1596" s="375">
        <f t="shared" si="56"/>
        <v>0</v>
      </c>
      <c r="I1596" s="376"/>
    </row>
    <row r="1597" spans="1:9" x14ac:dyDescent="0.25">
      <c r="A1597" s="373">
        <v>158</v>
      </c>
      <c r="B1597" s="374">
        <f>Bil!C128</f>
        <v>117</v>
      </c>
      <c r="C1597" s="374">
        <f>Bil!D128</f>
        <v>0</v>
      </c>
      <c r="D1597" s="374">
        <f>Bil!E128</f>
        <v>0</v>
      </c>
      <c r="E1597" s="374"/>
      <c r="F1597" s="374"/>
      <c r="G1597" s="375">
        <f t="shared" si="55"/>
        <v>0</v>
      </c>
      <c r="H1597" s="375">
        <f t="shared" si="56"/>
        <v>0</v>
      </c>
      <c r="I1597" s="376"/>
    </row>
    <row r="1598" spans="1:9" x14ac:dyDescent="0.25">
      <c r="A1598" s="373">
        <v>158</v>
      </c>
      <c r="B1598" s="374">
        <f>Bil!C129</f>
        <v>118</v>
      </c>
      <c r="C1598" s="374">
        <f>Bil!D129</f>
        <v>0</v>
      </c>
      <c r="D1598" s="374">
        <f>Bil!E129</f>
        <v>0</v>
      </c>
      <c r="E1598" s="374"/>
      <c r="F1598" s="374"/>
      <c r="G1598" s="375">
        <f t="shared" si="55"/>
        <v>0</v>
      </c>
      <c r="H1598" s="375">
        <f t="shared" si="56"/>
        <v>0</v>
      </c>
      <c r="I1598" s="376"/>
    </row>
    <row r="1599" spans="1:9" x14ac:dyDescent="0.25">
      <c r="A1599" s="373">
        <v>158</v>
      </c>
      <c r="B1599" s="374">
        <f>Bil!C130</f>
        <v>119</v>
      </c>
      <c r="C1599" s="374">
        <f>Bil!D130</f>
        <v>0</v>
      </c>
      <c r="D1599" s="374">
        <f>Bil!E130</f>
        <v>0</v>
      </c>
      <c r="E1599" s="374"/>
      <c r="F1599" s="374"/>
      <c r="G1599" s="375">
        <f t="shared" si="55"/>
        <v>0</v>
      </c>
      <c r="H1599" s="375">
        <f t="shared" si="56"/>
        <v>0</v>
      </c>
      <c r="I1599" s="376"/>
    </row>
    <row r="1600" spans="1:9" x14ac:dyDescent="0.25">
      <c r="A1600" s="373">
        <v>158</v>
      </c>
      <c r="B1600" s="374">
        <f>Bil!C131</f>
        <v>120</v>
      </c>
      <c r="C1600" s="374">
        <f>Bil!D131</f>
        <v>214100</v>
      </c>
      <c r="D1600" s="374">
        <f>Bil!E131</f>
        <v>214100</v>
      </c>
      <c r="E1600" s="374"/>
      <c r="F1600" s="374"/>
      <c r="G1600" s="375">
        <f t="shared" si="55"/>
        <v>77076</v>
      </c>
      <c r="H1600" s="375">
        <f t="shared" si="56"/>
        <v>0</v>
      </c>
      <c r="I1600" s="376"/>
    </row>
    <row r="1601" spans="1:9" x14ac:dyDescent="0.25">
      <c r="A1601" s="373">
        <v>158</v>
      </c>
      <c r="B1601" s="374">
        <f>Bil!C132</f>
        <v>121</v>
      </c>
      <c r="C1601" s="374">
        <f>Bil!D132</f>
        <v>214100</v>
      </c>
      <c r="D1601" s="374">
        <f>Bil!E132</f>
        <v>214100</v>
      </c>
      <c r="E1601" s="374"/>
      <c r="F1601" s="374"/>
      <c r="G1601" s="375">
        <f t="shared" si="55"/>
        <v>77718.299999999988</v>
      </c>
      <c r="H1601" s="375">
        <f t="shared" si="56"/>
        <v>0</v>
      </c>
      <c r="I1601" s="376"/>
    </row>
    <row r="1602" spans="1:9" x14ac:dyDescent="0.25">
      <c r="A1602" s="373">
        <v>158</v>
      </c>
      <c r="B1602" s="374">
        <f>Bil!C133</f>
        <v>122</v>
      </c>
      <c r="C1602" s="374">
        <f>Bil!D133</f>
        <v>0</v>
      </c>
      <c r="D1602" s="374">
        <f>Bil!E133</f>
        <v>0</v>
      </c>
      <c r="E1602" s="374"/>
      <c r="F1602" s="374"/>
      <c r="G1602" s="375">
        <f t="shared" si="55"/>
        <v>0</v>
      </c>
      <c r="H1602" s="375">
        <f t="shared" si="56"/>
        <v>0</v>
      </c>
      <c r="I1602" s="376"/>
    </row>
    <row r="1603" spans="1:9" x14ac:dyDescent="0.25">
      <c r="A1603" s="373">
        <v>158</v>
      </c>
      <c r="B1603" s="374">
        <f>Bil!C134</f>
        <v>123</v>
      </c>
      <c r="C1603" s="374">
        <f>Bil!D134</f>
        <v>0</v>
      </c>
      <c r="D1603" s="374">
        <f>Bil!E134</f>
        <v>0</v>
      </c>
      <c r="E1603" s="374"/>
      <c r="F1603" s="374"/>
      <c r="G1603" s="375">
        <f t="shared" si="55"/>
        <v>0</v>
      </c>
      <c r="H1603" s="375">
        <f t="shared" si="56"/>
        <v>0</v>
      </c>
      <c r="I1603" s="376"/>
    </row>
    <row r="1604" spans="1:9" x14ac:dyDescent="0.25">
      <c r="A1604" s="373">
        <v>158</v>
      </c>
      <c r="B1604" s="374">
        <f>Bil!C135</f>
        <v>124</v>
      </c>
      <c r="C1604" s="374">
        <f>Bil!D135</f>
        <v>80000</v>
      </c>
      <c r="D1604" s="374">
        <f>Bil!E135</f>
        <v>80000</v>
      </c>
      <c r="E1604" s="374"/>
      <c r="F1604" s="374"/>
      <c r="G1604" s="375">
        <f t="shared" si="55"/>
        <v>29760</v>
      </c>
      <c r="H1604" s="375">
        <f t="shared" si="56"/>
        <v>0</v>
      </c>
      <c r="I1604" s="376"/>
    </row>
    <row r="1605" spans="1:9" x14ac:dyDescent="0.25">
      <c r="A1605" s="373">
        <v>158</v>
      </c>
      <c r="B1605" s="374">
        <f>Bil!C136</f>
        <v>125</v>
      </c>
      <c r="C1605" s="374">
        <f>Bil!D136</f>
        <v>134100</v>
      </c>
      <c r="D1605" s="374">
        <f>Bil!E136</f>
        <v>134100</v>
      </c>
      <c r="E1605" s="374"/>
      <c r="F1605" s="374"/>
      <c r="G1605" s="375">
        <f t="shared" si="55"/>
        <v>50287.5</v>
      </c>
      <c r="H1605" s="375">
        <f t="shared" si="56"/>
        <v>0</v>
      </c>
      <c r="I1605" s="376"/>
    </row>
    <row r="1606" spans="1:9" x14ac:dyDescent="0.25">
      <c r="A1606" s="373">
        <v>158</v>
      </c>
      <c r="B1606" s="374">
        <f>Bil!C137</f>
        <v>126</v>
      </c>
      <c r="C1606" s="374">
        <f>Bil!D137</f>
        <v>0</v>
      </c>
      <c r="D1606" s="374">
        <f>Bil!E137</f>
        <v>0</v>
      </c>
      <c r="E1606" s="374"/>
      <c r="F1606" s="374"/>
      <c r="G1606" s="375">
        <f t="shared" si="55"/>
        <v>0</v>
      </c>
      <c r="H1606" s="375">
        <f t="shared" si="56"/>
        <v>0</v>
      </c>
      <c r="I1606" s="376"/>
    </row>
    <row r="1607" spans="1:9" x14ac:dyDescent="0.25">
      <c r="A1607" s="373">
        <v>158</v>
      </c>
      <c r="B1607" s="374">
        <f>Bil!C138</f>
        <v>127</v>
      </c>
      <c r="C1607" s="374">
        <f>Bil!D138</f>
        <v>0</v>
      </c>
      <c r="D1607" s="374">
        <f>Bil!E138</f>
        <v>0</v>
      </c>
      <c r="E1607" s="374"/>
      <c r="F1607" s="374"/>
      <c r="G1607" s="375">
        <f t="shared" si="55"/>
        <v>0</v>
      </c>
      <c r="H1607" s="375">
        <f t="shared" si="56"/>
        <v>0</v>
      </c>
      <c r="I1607" s="376"/>
    </row>
    <row r="1608" spans="1:9" x14ac:dyDescent="0.25">
      <c r="A1608" s="373">
        <v>158</v>
      </c>
      <c r="B1608" s="374">
        <f>Bil!C139</f>
        <v>128</v>
      </c>
      <c r="C1608" s="374">
        <f>Bil!D139</f>
        <v>0</v>
      </c>
      <c r="D1608" s="374">
        <f>Bil!E139</f>
        <v>0</v>
      </c>
      <c r="E1608" s="374"/>
      <c r="F1608" s="374"/>
      <c r="G1608" s="375">
        <f t="shared" si="55"/>
        <v>0</v>
      </c>
      <c r="H1608" s="375">
        <f t="shared" si="56"/>
        <v>0</v>
      </c>
      <c r="I1608" s="376"/>
    </row>
    <row r="1609" spans="1:9" x14ac:dyDescent="0.25">
      <c r="A1609" s="373">
        <v>158</v>
      </c>
      <c r="B1609" s="374">
        <f>Bil!C140</f>
        <v>129</v>
      </c>
      <c r="C1609" s="374">
        <f>Bil!D140</f>
        <v>0</v>
      </c>
      <c r="D1609" s="374">
        <f>Bil!E140</f>
        <v>0</v>
      </c>
      <c r="E1609" s="374"/>
      <c r="F1609" s="374"/>
      <c r="G1609" s="375">
        <f t="shared" si="55"/>
        <v>0</v>
      </c>
      <c r="H1609" s="375">
        <f t="shared" si="56"/>
        <v>0</v>
      </c>
      <c r="I1609" s="376"/>
    </row>
    <row r="1610" spans="1:9" x14ac:dyDescent="0.25">
      <c r="A1610" s="373">
        <v>158</v>
      </c>
      <c r="B1610" s="374">
        <f>Bil!C141</f>
        <v>130</v>
      </c>
      <c r="C1610" s="374">
        <f>Bil!D141</f>
        <v>0</v>
      </c>
      <c r="D1610" s="374">
        <f>Bil!E141</f>
        <v>0</v>
      </c>
      <c r="E1610" s="374"/>
      <c r="F1610" s="374"/>
      <c r="G1610" s="375">
        <f t="shared" si="55"/>
        <v>0</v>
      </c>
      <c r="H1610" s="375">
        <f t="shared" si="56"/>
        <v>0</v>
      </c>
      <c r="I1610" s="376"/>
    </row>
    <row r="1611" spans="1:9" x14ac:dyDescent="0.25">
      <c r="A1611" s="373">
        <v>158</v>
      </c>
      <c r="B1611" s="374">
        <f>Bil!C142</f>
        <v>131</v>
      </c>
      <c r="C1611" s="374">
        <f>Bil!D142</f>
        <v>0</v>
      </c>
      <c r="D1611" s="374">
        <f>Bil!E142</f>
        <v>0</v>
      </c>
      <c r="E1611" s="374"/>
      <c r="F1611" s="374"/>
      <c r="G1611" s="375">
        <f t="shared" si="55"/>
        <v>0</v>
      </c>
      <c r="H1611" s="375">
        <f t="shared" si="56"/>
        <v>0</v>
      </c>
      <c r="I1611" s="376"/>
    </row>
    <row r="1612" spans="1:9" x14ac:dyDescent="0.25">
      <c r="A1612" s="373">
        <v>158</v>
      </c>
      <c r="B1612" s="374">
        <f>Bil!C143</f>
        <v>132</v>
      </c>
      <c r="C1612" s="374">
        <f>Bil!D143</f>
        <v>137633</v>
      </c>
      <c r="D1612" s="374">
        <f>Bil!E143</f>
        <v>212175</v>
      </c>
      <c r="E1612" s="374"/>
      <c r="F1612" s="374"/>
      <c r="G1612" s="375">
        <f t="shared" ref="G1612:G1675" si="57">B1612/1000*C1612+B1612/500*D1612</f>
        <v>74181.756000000008</v>
      </c>
      <c r="H1612" s="375">
        <f t="shared" ref="H1612:H1675" si="58">ABS(C1612-ROUND(C1612,0))+ABS(D1612-ROUND(D1612,0))</f>
        <v>0</v>
      </c>
      <c r="I1612" s="376"/>
    </row>
    <row r="1613" spans="1:9" x14ac:dyDescent="0.25">
      <c r="A1613" s="373">
        <v>158</v>
      </c>
      <c r="B1613" s="374">
        <f>Bil!C144</f>
        <v>133</v>
      </c>
      <c r="C1613" s="374">
        <f>Bil!D144</f>
        <v>0</v>
      </c>
      <c r="D1613" s="374">
        <f>Bil!E144</f>
        <v>0</v>
      </c>
      <c r="E1613" s="374"/>
      <c r="F1613" s="374"/>
      <c r="G1613" s="375">
        <f t="shared" si="57"/>
        <v>0</v>
      </c>
      <c r="H1613" s="375">
        <f t="shared" si="58"/>
        <v>0</v>
      </c>
      <c r="I1613" s="376"/>
    </row>
    <row r="1614" spans="1:9" x14ac:dyDescent="0.25">
      <c r="A1614" s="373">
        <v>158</v>
      </c>
      <c r="B1614" s="374">
        <f>Bil!C145</f>
        <v>134</v>
      </c>
      <c r="C1614" s="374">
        <f>Bil!D145</f>
        <v>0</v>
      </c>
      <c r="D1614" s="374">
        <f>Bil!E145</f>
        <v>0</v>
      </c>
      <c r="E1614" s="374"/>
      <c r="F1614" s="374"/>
      <c r="G1614" s="375">
        <f t="shared" si="57"/>
        <v>0</v>
      </c>
      <c r="H1614" s="375">
        <f t="shared" si="58"/>
        <v>0</v>
      </c>
      <c r="I1614" s="376"/>
    </row>
    <row r="1615" spans="1:9" x14ac:dyDescent="0.25">
      <c r="A1615" s="373">
        <v>158</v>
      </c>
      <c r="B1615" s="374">
        <f>Bil!C146</f>
        <v>135</v>
      </c>
      <c r="C1615" s="374">
        <f>Bil!D146</f>
        <v>0</v>
      </c>
      <c r="D1615" s="374">
        <f>Bil!E146</f>
        <v>0</v>
      </c>
      <c r="E1615" s="374"/>
      <c r="F1615" s="374"/>
      <c r="G1615" s="375">
        <f t="shared" si="57"/>
        <v>0</v>
      </c>
      <c r="H1615" s="375">
        <f t="shared" si="58"/>
        <v>0</v>
      </c>
      <c r="I1615" s="376"/>
    </row>
    <row r="1616" spans="1:9" x14ac:dyDescent="0.25">
      <c r="A1616" s="373">
        <v>158</v>
      </c>
      <c r="B1616" s="374">
        <f>Bil!C147</f>
        <v>136</v>
      </c>
      <c r="C1616" s="374">
        <f>Bil!D147</f>
        <v>81413</v>
      </c>
      <c r="D1616" s="374">
        <f>Bil!E147</f>
        <v>145874</v>
      </c>
      <c r="E1616" s="374"/>
      <c r="F1616" s="374"/>
      <c r="G1616" s="375">
        <f t="shared" si="57"/>
        <v>50749.896000000008</v>
      </c>
      <c r="H1616" s="375">
        <f t="shared" si="58"/>
        <v>0</v>
      </c>
      <c r="I1616" s="376"/>
    </row>
    <row r="1617" spans="1:9" x14ac:dyDescent="0.25">
      <c r="A1617" s="373">
        <v>158</v>
      </c>
      <c r="B1617" s="374">
        <f>Bil!C148</f>
        <v>137</v>
      </c>
      <c r="C1617" s="374">
        <f>Bil!D148</f>
        <v>56220</v>
      </c>
      <c r="D1617" s="374">
        <f>Bil!E148</f>
        <v>66301</v>
      </c>
      <c r="E1617" s="374"/>
      <c r="F1617" s="374"/>
      <c r="G1617" s="375">
        <f t="shared" si="57"/>
        <v>25868.614000000001</v>
      </c>
      <c r="H1617" s="375">
        <f t="shared" si="58"/>
        <v>0</v>
      </c>
      <c r="I1617" s="376"/>
    </row>
    <row r="1618" spans="1:9" x14ac:dyDescent="0.25">
      <c r="A1618" s="373">
        <v>158</v>
      </c>
      <c r="B1618" s="374">
        <f>Bil!C149</f>
        <v>138</v>
      </c>
      <c r="C1618" s="374">
        <f>Bil!D149</f>
        <v>0</v>
      </c>
      <c r="D1618" s="374">
        <f>Bil!E149</f>
        <v>0</v>
      </c>
      <c r="E1618" s="374"/>
      <c r="F1618" s="374"/>
      <c r="G1618" s="375">
        <f t="shared" si="57"/>
        <v>0</v>
      </c>
      <c r="H1618" s="375">
        <f t="shared" si="58"/>
        <v>0</v>
      </c>
      <c r="I1618" s="376"/>
    </row>
    <row r="1619" spans="1:9" x14ac:dyDescent="0.25">
      <c r="A1619" s="373">
        <v>158</v>
      </c>
      <c r="B1619" s="374">
        <f>Bil!C150</f>
        <v>139</v>
      </c>
      <c r="C1619" s="374">
        <f>Bil!D150</f>
        <v>0</v>
      </c>
      <c r="D1619" s="374">
        <f>Bil!E150</f>
        <v>0</v>
      </c>
      <c r="E1619" s="374"/>
      <c r="F1619" s="374"/>
      <c r="G1619" s="375">
        <f t="shared" si="57"/>
        <v>0</v>
      </c>
      <c r="H1619" s="375">
        <f t="shared" si="58"/>
        <v>0</v>
      </c>
      <c r="I1619" s="376"/>
    </row>
    <row r="1620" spans="1:9" x14ac:dyDescent="0.25">
      <c r="A1620" s="373">
        <v>158</v>
      </c>
      <c r="B1620" s="374">
        <f>Bil!C151</f>
        <v>140</v>
      </c>
      <c r="C1620" s="374">
        <f>Bil!D151</f>
        <v>0</v>
      </c>
      <c r="D1620" s="374">
        <f>Bil!E151</f>
        <v>0</v>
      </c>
      <c r="E1620" s="374"/>
      <c r="F1620" s="374"/>
      <c r="G1620" s="375">
        <f t="shared" si="57"/>
        <v>0</v>
      </c>
      <c r="H1620" s="375">
        <f t="shared" si="58"/>
        <v>0</v>
      </c>
      <c r="I1620" s="376"/>
    </row>
    <row r="1621" spans="1:9" x14ac:dyDescent="0.25">
      <c r="A1621" s="373">
        <v>158</v>
      </c>
      <c r="B1621" s="374">
        <f>Bil!C152</f>
        <v>141</v>
      </c>
      <c r="C1621" s="374">
        <f>Bil!D152</f>
        <v>0</v>
      </c>
      <c r="D1621" s="374">
        <f>Bil!E152</f>
        <v>0</v>
      </c>
      <c r="E1621" s="374"/>
      <c r="F1621" s="374"/>
      <c r="G1621" s="375">
        <f t="shared" si="57"/>
        <v>0</v>
      </c>
      <c r="H1621" s="375">
        <f t="shared" si="58"/>
        <v>0</v>
      </c>
      <c r="I1621" s="376"/>
    </row>
    <row r="1622" spans="1:9" x14ac:dyDescent="0.25">
      <c r="A1622" s="373">
        <v>158</v>
      </c>
      <c r="B1622" s="374">
        <f>Bil!C153</f>
        <v>142</v>
      </c>
      <c r="C1622" s="374">
        <f>Bil!D153</f>
        <v>0</v>
      </c>
      <c r="D1622" s="374">
        <f>Bil!E153</f>
        <v>0</v>
      </c>
      <c r="E1622" s="374"/>
      <c r="F1622" s="374"/>
      <c r="G1622" s="375">
        <f t="shared" si="57"/>
        <v>0</v>
      </c>
      <c r="H1622" s="375">
        <f t="shared" si="58"/>
        <v>0</v>
      </c>
      <c r="I1622" s="376"/>
    </row>
    <row r="1623" spans="1:9" x14ac:dyDescent="0.25">
      <c r="A1623" s="373">
        <v>158</v>
      </c>
      <c r="B1623" s="374">
        <f>Bil!C154</f>
        <v>143</v>
      </c>
      <c r="C1623" s="374">
        <f>Bil!D154</f>
        <v>0</v>
      </c>
      <c r="D1623" s="374">
        <f>Bil!E154</f>
        <v>0</v>
      </c>
      <c r="E1623" s="374"/>
      <c r="F1623" s="374"/>
      <c r="G1623" s="375">
        <f t="shared" si="57"/>
        <v>0</v>
      </c>
      <c r="H1623" s="375">
        <f t="shared" si="58"/>
        <v>0</v>
      </c>
      <c r="I1623" s="376"/>
    </row>
    <row r="1624" spans="1:9" x14ac:dyDescent="0.25">
      <c r="A1624" s="373">
        <v>158</v>
      </c>
      <c r="B1624" s="374">
        <f>Bil!C155</f>
        <v>144</v>
      </c>
      <c r="C1624" s="374">
        <f>Bil!D155</f>
        <v>0</v>
      </c>
      <c r="D1624" s="374">
        <f>Bil!E155</f>
        <v>0</v>
      </c>
      <c r="E1624" s="374"/>
      <c r="F1624" s="374"/>
      <c r="G1624" s="375">
        <f t="shared" si="57"/>
        <v>0</v>
      </c>
      <c r="H1624" s="375">
        <f t="shared" si="58"/>
        <v>0</v>
      </c>
      <c r="I1624" s="376"/>
    </row>
    <row r="1625" spans="1:9" x14ac:dyDescent="0.25">
      <c r="A1625" s="373">
        <v>158</v>
      </c>
      <c r="B1625" s="374">
        <f>Bil!C156</f>
        <v>145</v>
      </c>
      <c r="C1625" s="374">
        <f>Bil!D156</f>
        <v>0</v>
      </c>
      <c r="D1625" s="374">
        <f>Bil!E156</f>
        <v>0</v>
      </c>
      <c r="E1625" s="374"/>
      <c r="F1625" s="374"/>
      <c r="G1625" s="375">
        <f t="shared" si="57"/>
        <v>0</v>
      </c>
      <c r="H1625" s="375">
        <f t="shared" si="58"/>
        <v>0</v>
      </c>
      <c r="I1625" s="376"/>
    </row>
    <row r="1626" spans="1:9" x14ac:dyDescent="0.25">
      <c r="A1626" s="373">
        <v>158</v>
      </c>
      <c r="B1626" s="374">
        <f>Bil!C157</f>
        <v>146</v>
      </c>
      <c r="C1626" s="374">
        <f>Bil!D157</f>
        <v>9542508</v>
      </c>
      <c r="D1626" s="374">
        <f>Bil!E157</f>
        <v>9329560</v>
      </c>
      <c r="E1626" s="374"/>
      <c r="F1626" s="374"/>
      <c r="G1626" s="375">
        <f t="shared" si="57"/>
        <v>4117437.6880000001</v>
      </c>
      <c r="H1626" s="375">
        <f t="shared" si="58"/>
        <v>0</v>
      </c>
      <c r="I1626" s="376"/>
    </row>
    <row r="1627" spans="1:9" x14ac:dyDescent="0.25">
      <c r="A1627" s="373">
        <v>158</v>
      </c>
      <c r="B1627" s="374">
        <f>Bil!C158</f>
        <v>147</v>
      </c>
      <c r="C1627" s="374">
        <f>Bil!D158</f>
        <v>264628</v>
      </c>
      <c r="D1627" s="374">
        <f>Bil!E158</f>
        <v>391071</v>
      </c>
      <c r="E1627" s="374"/>
      <c r="F1627" s="374"/>
      <c r="G1627" s="375">
        <f t="shared" si="57"/>
        <v>153875.19</v>
      </c>
      <c r="H1627" s="375">
        <f t="shared" si="58"/>
        <v>0</v>
      </c>
      <c r="I1627" s="376"/>
    </row>
    <row r="1628" spans="1:9" x14ac:dyDescent="0.25">
      <c r="A1628" s="373">
        <v>158</v>
      </c>
      <c r="B1628" s="374">
        <f>Bil!C159</f>
        <v>148</v>
      </c>
      <c r="C1628" s="374">
        <f>Bil!D159</f>
        <v>224738</v>
      </c>
      <c r="D1628" s="374">
        <f>Bil!E159</f>
        <v>336668</v>
      </c>
      <c r="E1628" s="374"/>
      <c r="F1628" s="374"/>
      <c r="G1628" s="375">
        <f t="shared" si="57"/>
        <v>132914.95199999999</v>
      </c>
      <c r="H1628" s="375">
        <f t="shared" si="58"/>
        <v>0</v>
      </c>
      <c r="I1628" s="376"/>
    </row>
    <row r="1629" spans="1:9" x14ac:dyDescent="0.25">
      <c r="A1629" s="373">
        <v>158</v>
      </c>
      <c r="B1629" s="374">
        <f>Bil!C160</f>
        <v>149</v>
      </c>
      <c r="C1629" s="374">
        <f>Bil!D160</f>
        <v>0</v>
      </c>
      <c r="D1629" s="374">
        <f>Bil!E160</f>
        <v>0</v>
      </c>
      <c r="E1629" s="374"/>
      <c r="F1629" s="374"/>
      <c r="G1629" s="375">
        <f t="shared" si="57"/>
        <v>0</v>
      </c>
      <c r="H1629" s="375">
        <f t="shared" si="58"/>
        <v>0</v>
      </c>
      <c r="I1629" s="376"/>
    </row>
    <row r="1630" spans="1:9" x14ac:dyDescent="0.25">
      <c r="A1630" s="373">
        <v>158</v>
      </c>
      <c r="B1630" s="374">
        <f>Bil!C161</f>
        <v>150</v>
      </c>
      <c r="C1630" s="374">
        <f>Bil!D161</f>
        <v>69360</v>
      </c>
      <c r="D1630" s="374">
        <f>Bil!E161</f>
        <v>41300</v>
      </c>
      <c r="E1630" s="374"/>
      <c r="F1630" s="374"/>
      <c r="G1630" s="375">
        <f t="shared" si="57"/>
        <v>22794</v>
      </c>
      <c r="H1630" s="375">
        <f t="shared" si="58"/>
        <v>0</v>
      </c>
      <c r="I1630" s="376"/>
    </row>
    <row r="1631" spans="1:9" x14ac:dyDescent="0.25">
      <c r="A1631" s="373">
        <v>158</v>
      </c>
      <c r="B1631" s="374">
        <f>Bil!C162</f>
        <v>151</v>
      </c>
      <c r="C1631" s="374">
        <f>Bil!D162</f>
        <v>0</v>
      </c>
      <c r="D1631" s="374">
        <f>Bil!E162</f>
        <v>162</v>
      </c>
      <c r="E1631" s="374"/>
      <c r="F1631" s="374"/>
      <c r="G1631" s="375">
        <f t="shared" si="57"/>
        <v>48.923999999999999</v>
      </c>
      <c r="H1631" s="375">
        <f t="shared" si="58"/>
        <v>0</v>
      </c>
      <c r="I1631" s="376"/>
    </row>
    <row r="1632" spans="1:9" x14ac:dyDescent="0.25">
      <c r="A1632" s="373">
        <v>158</v>
      </c>
      <c r="B1632" s="374">
        <f>Bil!C163</f>
        <v>152</v>
      </c>
      <c r="C1632" s="374">
        <f>Bil!D163</f>
        <v>21374</v>
      </c>
      <c r="D1632" s="374">
        <f>Bil!E163</f>
        <v>15864</v>
      </c>
      <c r="E1632" s="374"/>
      <c r="F1632" s="374"/>
      <c r="G1632" s="375">
        <f t="shared" si="57"/>
        <v>8071.5039999999999</v>
      </c>
      <c r="H1632" s="375">
        <f t="shared" si="58"/>
        <v>0</v>
      </c>
      <c r="I1632" s="376"/>
    </row>
    <row r="1633" spans="1:9" x14ac:dyDescent="0.25">
      <c r="A1633" s="373">
        <v>158</v>
      </c>
      <c r="B1633" s="374">
        <f>Bil!C164</f>
        <v>153</v>
      </c>
      <c r="C1633" s="374">
        <f>Bil!D164</f>
        <v>0</v>
      </c>
      <c r="D1633" s="374">
        <f>Bil!E164</f>
        <v>0</v>
      </c>
      <c r="E1633" s="374"/>
      <c r="F1633" s="374"/>
      <c r="G1633" s="375">
        <f t="shared" si="57"/>
        <v>0</v>
      </c>
      <c r="H1633" s="375">
        <f t="shared" si="58"/>
        <v>0</v>
      </c>
      <c r="I1633" s="376"/>
    </row>
    <row r="1634" spans="1:9" x14ac:dyDescent="0.25">
      <c r="A1634" s="373">
        <v>158</v>
      </c>
      <c r="B1634" s="374">
        <f>Bil!C165</f>
        <v>154</v>
      </c>
      <c r="C1634" s="374">
        <f>Bil!D165</f>
        <v>57213</v>
      </c>
      <c r="D1634" s="374">
        <f>Bil!E165</f>
        <v>60993</v>
      </c>
      <c r="E1634" s="374"/>
      <c r="F1634" s="374"/>
      <c r="G1634" s="375">
        <f t="shared" si="57"/>
        <v>27596.646000000001</v>
      </c>
      <c r="H1634" s="375">
        <f t="shared" si="58"/>
        <v>0</v>
      </c>
      <c r="I1634" s="376"/>
    </row>
    <row r="1635" spans="1:9" x14ac:dyDescent="0.25">
      <c r="A1635" s="373">
        <v>158</v>
      </c>
      <c r="B1635" s="374">
        <f>Bil!C166</f>
        <v>155</v>
      </c>
      <c r="C1635" s="374">
        <f>Bil!D166</f>
        <v>0</v>
      </c>
      <c r="D1635" s="374">
        <f>Bil!E166</f>
        <v>156452</v>
      </c>
      <c r="E1635" s="374"/>
      <c r="F1635" s="374"/>
      <c r="G1635" s="375">
        <f t="shared" si="57"/>
        <v>48500.12</v>
      </c>
      <c r="H1635" s="375">
        <f t="shared" si="58"/>
        <v>0</v>
      </c>
      <c r="I1635" s="376"/>
    </row>
    <row r="1636" spans="1:9" x14ac:dyDescent="0.25">
      <c r="A1636" s="373">
        <v>158</v>
      </c>
      <c r="B1636" s="374">
        <f>Bil!C167</f>
        <v>156</v>
      </c>
      <c r="C1636" s="374">
        <f>Bil!D167</f>
        <v>76791</v>
      </c>
      <c r="D1636" s="374">
        <f>Bil!E167</f>
        <v>61897</v>
      </c>
      <c r="E1636" s="374"/>
      <c r="F1636" s="374"/>
      <c r="G1636" s="375">
        <f t="shared" si="57"/>
        <v>31291.260000000002</v>
      </c>
      <c r="H1636" s="375">
        <f t="shared" si="58"/>
        <v>0</v>
      </c>
      <c r="I1636" s="376"/>
    </row>
    <row r="1637" spans="1:9" x14ac:dyDescent="0.25">
      <c r="A1637" s="373">
        <v>158</v>
      </c>
      <c r="B1637" s="374">
        <f>Bil!C168</f>
        <v>157</v>
      </c>
      <c r="C1637" s="374">
        <f>Bil!D168</f>
        <v>39890</v>
      </c>
      <c r="D1637" s="374">
        <f>Bil!E168</f>
        <v>54403</v>
      </c>
      <c r="E1637" s="374"/>
      <c r="F1637" s="374"/>
      <c r="G1637" s="375">
        <f t="shared" si="57"/>
        <v>23345.272000000001</v>
      </c>
      <c r="H1637" s="375">
        <f t="shared" si="58"/>
        <v>0</v>
      </c>
      <c r="I1637" s="376"/>
    </row>
    <row r="1638" spans="1:9" x14ac:dyDescent="0.25">
      <c r="A1638" s="373">
        <v>158</v>
      </c>
      <c r="B1638" s="374">
        <f>Bil!C169</f>
        <v>158</v>
      </c>
      <c r="C1638" s="374">
        <f>Bil!D169</f>
        <v>0</v>
      </c>
      <c r="D1638" s="374">
        <f>Bil!E169</f>
        <v>0</v>
      </c>
      <c r="E1638" s="374"/>
      <c r="F1638" s="374"/>
      <c r="G1638" s="375">
        <f t="shared" si="57"/>
        <v>0</v>
      </c>
      <c r="H1638" s="375">
        <f t="shared" si="58"/>
        <v>0</v>
      </c>
      <c r="I1638" s="376"/>
    </row>
    <row r="1639" spans="1:9" x14ac:dyDescent="0.25">
      <c r="A1639" s="373">
        <v>158</v>
      </c>
      <c r="B1639" s="374">
        <f>Bil!C170</f>
        <v>159</v>
      </c>
      <c r="C1639" s="374">
        <f>Bil!D170</f>
        <v>0</v>
      </c>
      <c r="D1639" s="374">
        <f>Bil!E170</f>
        <v>0</v>
      </c>
      <c r="E1639" s="374"/>
      <c r="F1639" s="374"/>
      <c r="G1639" s="375">
        <f t="shared" si="57"/>
        <v>0</v>
      </c>
      <c r="H1639" s="375">
        <f t="shared" si="58"/>
        <v>0</v>
      </c>
      <c r="I1639" s="376"/>
    </row>
    <row r="1640" spans="1:9" x14ac:dyDescent="0.25">
      <c r="A1640" s="373">
        <v>158</v>
      </c>
      <c r="B1640" s="374">
        <f>Bil!C171</f>
        <v>160</v>
      </c>
      <c r="C1640" s="374">
        <f>Bil!D171</f>
        <v>0</v>
      </c>
      <c r="D1640" s="374">
        <f>Bil!E171</f>
        <v>0</v>
      </c>
      <c r="E1640" s="374"/>
      <c r="F1640" s="374"/>
      <c r="G1640" s="375">
        <f t="shared" si="57"/>
        <v>0</v>
      </c>
      <c r="H1640" s="375">
        <f t="shared" si="58"/>
        <v>0</v>
      </c>
      <c r="I1640" s="376"/>
    </row>
    <row r="1641" spans="1:9" x14ac:dyDescent="0.25">
      <c r="A1641" s="373">
        <v>158</v>
      </c>
      <c r="B1641" s="374">
        <f>Bil!C172</f>
        <v>161</v>
      </c>
      <c r="C1641" s="374">
        <f>Bil!D172</f>
        <v>0</v>
      </c>
      <c r="D1641" s="374">
        <f>Bil!E172</f>
        <v>0</v>
      </c>
      <c r="E1641" s="374"/>
      <c r="F1641" s="374"/>
      <c r="G1641" s="375">
        <f t="shared" si="57"/>
        <v>0</v>
      </c>
      <c r="H1641" s="375">
        <f t="shared" si="58"/>
        <v>0</v>
      </c>
      <c r="I1641" s="376"/>
    </row>
    <row r="1642" spans="1:9" x14ac:dyDescent="0.25">
      <c r="A1642" s="373">
        <v>158</v>
      </c>
      <c r="B1642" s="374">
        <f>Bil!C173</f>
        <v>162</v>
      </c>
      <c r="C1642" s="374">
        <f>Bil!D173</f>
        <v>0</v>
      </c>
      <c r="D1642" s="374">
        <f>Bil!E173</f>
        <v>0</v>
      </c>
      <c r="E1642" s="374"/>
      <c r="F1642" s="374"/>
      <c r="G1642" s="375">
        <f t="shared" si="57"/>
        <v>0</v>
      </c>
      <c r="H1642" s="375">
        <f t="shared" si="58"/>
        <v>0</v>
      </c>
      <c r="I1642" s="376"/>
    </row>
    <row r="1643" spans="1:9" x14ac:dyDescent="0.25">
      <c r="A1643" s="373">
        <v>158</v>
      </c>
      <c r="B1643" s="374">
        <f>Bil!C174</f>
        <v>163</v>
      </c>
      <c r="C1643" s="374">
        <f>Bil!D174</f>
        <v>0</v>
      </c>
      <c r="D1643" s="374">
        <f>Bil!E174</f>
        <v>0</v>
      </c>
      <c r="E1643" s="374"/>
      <c r="F1643" s="374"/>
      <c r="G1643" s="375">
        <f t="shared" si="57"/>
        <v>0</v>
      </c>
      <c r="H1643" s="375">
        <f t="shared" si="58"/>
        <v>0</v>
      </c>
      <c r="I1643" s="376"/>
    </row>
    <row r="1644" spans="1:9" x14ac:dyDescent="0.25">
      <c r="A1644" s="373">
        <v>158</v>
      </c>
      <c r="B1644" s="374">
        <f>Bil!C175</f>
        <v>164</v>
      </c>
      <c r="C1644" s="374">
        <f>Bil!D175</f>
        <v>0</v>
      </c>
      <c r="D1644" s="374">
        <f>Bil!E175</f>
        <v>0</v>
      </c>
      <c r="E1644" s="374"/>
      <c r="F1644" s="374"/>
      <c r="G1644" s="375">
        <f t="shared" si="57"/>
        <v>0</v>
      </c>
      <c r="H1644" s="375">
        <f t="shared" si="58"/>
        <v>0</v>
      </c>
      <c r="I1644" s="376"/>
    </row>
    <row r="1645" spans="1:9" x14ac:dyDescent="0.25">
      <c r="A1645" s="373">
        <v>158</v>
      </c>
      <c r="B1645" s="374">
        <f>Bil!C176</f>
        <v>165</v>
      </c>
      <c r="C1645" s="374">
        <f>Bil!D176</f>
        <v>0</v>
      </c>
      <c r="D1645" s="374">
        <f>Bil!E176</f>
        <v>0</v>
      </c>
      <c r="E1645" s="374"/>
      <c r="F1645" s="374"/>
      <c r="G1645" s="375">
        <f t="shared" si="57"/>
        <v>0</v>
      </c>
      <c r="H1645" s="375">
        <f t="shared" si="58"/>
        <v>0</v>
      </c>
      <c r="I1645" s="376"/>
    </row>
    <row r="1646" spans="1:9" x14ac:dyDescent="0.25">
      <c r="A1646" s="373">
        <v>158</v>
      </c>
      <c r="B1646" s="374">
        <f>Bil!C177</f>
        <v>166</v>
      </c>
      <c r="C1646" s="374">
        <f>Bil!D177</f>
        <v>0</v>
      </c>
      <c r="D1646" s="374">
        <f>Bil!E177</f>
        <v>0</v>
      </c>
      <c r="E1646" s="374"/>
      <c r="F1646" s="374"/>
      <c r="G1646" s="375">
        <f t="shared" si="57"/>
        <v>0</v>
      </c>
      <c r="H1646" s="375">
        <f t="shared" si="58"/>
        <v>0</v>
      </c>
      <c r="I1646" s="376"/>
    </row>
    <row r="1647" spans="1:9" x14ac:dyDescent="0.25">
      <c r="A1647" s="373">
        <v>158</v>
      </c>
      <c r="B1647" s="374">
        <f>Bil!C178</f>
        <v>167</v>
      </c>
      <c r="C1647" s="374">
        <f>Bil!D178</f>
        <v>0</v>
      </c>
      <c r="D1647" s="374">
        <f>Bil!E178</f>
        <v>0</v>
      </c>
      <c r="E1647" s="374"/>
      <c r="F1647" s="374"/>
      <c r="G1647" s="375">
        <f t="shared" si="57"/>
        <v>0</v>
      </c>
      <c r="H1647" s="375">
        <f t="shared" si="58"/>
        <v>0</v>
      </c>
      <c r="I1647" s="376"/>
    </row>
    <row r="1648" spans="1:9" x14ac:dyDescent="0.25">
      <c r="A1648" s="373">
        <v>158</v>
      </c>
      <c r="B1648" s="374">
        <f>Bil!C179</f>
        <v>168</v>
      </c>
      <c r="C1648" s="374">
        <f>Bil!D179</f>
        <v>0</v>
      </c>
      <c r="D1648" s="374">
        <f>Bil!E179</f>
        <v>0</v>
      </c>
      <c r="E1648" s="374"/>
      <c r="F1648" s="374"/>
      <c r="G1648" s="375">
        <f t="shared" si="57"/>
        <v>0</v>
      </c>
      <c r="H1648" s="375">
        <f t="shared" si="58"/>
        <v>0</v>
      </c>
      <c r="I1648" s="376"/>
    </row>
    <row r="1649" spans="1:9" x14ac:dyDescent="0.25">
      <c r="A1649" s="373">
        <v>158</v>
      </c>
      <c r="B1649" s="374">
        <f>Bil!C180</f>
        <v>169</v>
      </c>
      <c r="C1649" s="374">
        <f>Bil!D180</f>
        <v>0</v>
      </c>
      <c r="D1649" s="374">
        <f>Bil!E180</f>
        <v>0</v>
      </c>
      <c r="E1649" s="374"/>
      <c r="F1649" s="374"/>
      <c r="G1649" s="375">
        <f t="shared" si="57"/>
        <v>0</v>
      </c>
      <c r="H1649" s="375">
        <f t="shared" si="58"/>
        <v>0</v>
      </c>
      <c r="I1649" s="376"/>
    </row>
    <row r="1650" spans="1:9" x14ac:dyDescent="0.25">
      <c r="A1650" s="373">
        <v>158</v>
      </c>
      <c r="B1650" s="374">
        <f>Bil!C181</f>
        <v>170</v>
      </c>
      <c r="C1650" s="374">
        <f>Bil!D181</f>
        <v>0</v>
      </c>
      <c r="D1650" s="374">
        <f>Bil!E181</f>
        <v>0</v>
      </c>
      <c r="E1650" s="374"/>
      <c r="F1650" s="374"/>
      <c r="G1650" s="375">
        <f t="shared" si="57"/>
        <v>0</v>
      </c>
      <c r="H1650" s="375">
        <f t="shared" si="58"/>
        <v>0</v>
      </c>
      <c r="I1650" s="376"/>
    </row>
    <row r="1651" spans="1:9" x14ac:dyDescent="0.25">
      <c r="A1651" s="373">
        <v>158</v>
      </c>
      <c r="B1651" s="374">
        <f>Bil!C182</f>
        <v>171</v>
      </c>
      <c r="C1651" s="374">
        <f>Bil!D182</f>
        <v>0</v>
      </c>
      <c r="D1651" s="374">
        <f>Bil!E182</f>
        <v>0</v>
      </c>
      <c r="E1651" s="374"/>
      <c r="F1651" s="374"/>
      <c r="G1651" s="375">
        <f t="shared" si="57"/>
        <v>0</v>
      </c>
      <c r="H1651" s="375">
        <f t="shared" si="58"/>
        <v>0</v>
      </c>
      <c r="I1651" s="376"/>
    </row>
    <row r="1652" spans="1:9" x14ac:dyDescent="0.25">
      <c r="A1652" s="373">
        <v>158</v>
      </c>
      <c r="B1652" s="374">
        <f>Bil!C183</f>
        <v>172</v>
      </c>
      <c r="C1652" s="374">
        <f>Bil!D183</f>
        <v>0</v>
      </c>
      <c r="D1652" s="374">
        <f>Bil!E183</f>
        <v>0</v>
      </c>
      <c r="E1652" s="374"/>
      <c r="F1652" s="374"/>
      <c r="G1652" s="375">
        <f t="shared" si="57"/>
        <v>0</v>
      </c>
      <c r="H1652" s="375">
        <f t="shared" si="58"/>
        <v>0</v>
      </c>
      <c r="I1652" s="376"/>
    </row>
    <row r="1653" spans="1:9" x14ac:dyDescent="0.25">
      <c r="A1653" s="373">
        <v>158</v>
      </c>
      <c r="B1653" s="374">
        <f>Bil!C184</f>
        <v>173</v>
      </c>
      <c r="C1653" s="374">
        <f>Bil!D184</f>
        <v>0</v>
      </c>
      <c r="D1653" s="374">
        <f>Bil!E184</f>
        <v>0</v>
      </c>
      <c r="E1653" s="374"/>
      <c r="F1653" s="374"/>
      <c r="G1653" s="375">
        <f t="shared" si="57"/>
        <v>0</v>
      </c>
      <c r="H1653" s="375">
        <f t="shared" si="58"/>
        <v>0</v>
      </c>
      <c r="I1653" s="376"/>
    </row>
    <row r="1654" spans="1:9" x14ac:dyDescent="0.25">
      <c r="A1654" s="373">
        <v>158</v>
      </c>
      <c r="B1654" s="374">
        <f>Bil!C185</f>
        <v>174</v>
      </c>
      <c r="C1654" s="374">
        <f>Bil!D185</f>
        <v>0</v>
      </c>
      <c r="D1654" s="374">
        <f>Bil!E185</f>
        <v>0</v>
      </c>
      <c r="E1654" s="374"/>
      <c r="F1654" s="374"/>
      <c r="G1654" s="375">
        <f t="shared" si="57"/>
        <v>0</v>
      </c>
      <c r="H1654" s="375">
        <f t="shared" si="58"/>
        <v>0</v>
      </c>
      <c r="I1654" s="376"/>
    </row>
    <row r="1655" spans="1:9" x14ac:dyDescent="0.25">
      <c r="A1655" s="373">
        <v>158</v>
      </c>
      <c r="B1655" s="374">
        <f>Bil!C186</f>
        <v>175</v>
      </c>
      <c r="C1655" s="374">
        <f>Bil!D186</f>
        <v>0</v>
      </c>
      <c r="D1655" s="374">
        <f>Bil!E186</f>
        <v>0</v>
      </c>
      <c r="E1655" s="374"/>
      <c r="F1655" s="374"/>
      <c r="G1655" s="375">
        <f t="shared" si="57"/>
        <v>0</v>
      </c>
      <c r="H1655" s="375">
        <f t="shared" si="58"/>
        <v>0</v>
      </c>
      <c r="I1655" s="376"/>
    </row>
    <row r="1656" spans="1:9" x14ac:dyDescent="0.25">
      <c r="A1656" s="373">
        <v>158</v>
      </c>
      <c r="B1656" s="374">
        <f>Bil!C187</f>
        <v>176</v>
      </c>
      <c r="C1656" s="374">
        <f>Bil!D187</f>
        <v>0</v>
      </c>
      <c r="D1656" s="374">
        <f>Bil!E187</f>
        <v>0</v>
      </c>
      <c r="E1656" s="374"/>
      <c r="F1656" s="374"/>
      <c r="G1656" s="375">
        <f t="shared" si="57"/>
        <v>0</v>
      </c>
      <c r="H1656" s="375">
        <f t="shared" si="58"/>
        <v>0</v>
      </c>
      <c r="I1656" s="376"/>
    </row>
    <row r="1657" spans="1:9" x14ac:dyDescent="0.25">
      <c r="A1657" s="373">
        <v>158</v>
      </c>
      <c r="B1657" s="374">
        <f>Bil!C188</f>
        <v>177</v>
      </c>
      <c r="C1657" s="374">
        <f>Bil!D188</f>
        <v>0</v>
      </c>
      <c r="D1657" s="374">
        <f>Bil!E188</f>
        <v>0</v>
      </c>
      <c r="E1657" s="374"/>
      <c r="F1657" s="374"/>
      <c r="G1657" s="375">
        <f t="shared" si="57"/>
        <v>0</v>
      </c>
      <c r="H1657" s="375">
        <f t="shared" si="58"/>
        <v>0</v>
      </c>
      <c r="I1657" s="376"/>
    </row>
    <row r="1658" spans="1:9" x14ac:dyDescent="0.25">
      <c r="A1658" s="373">
        <v>158</v>
      </c>
      <c r="B1658" s="374">
        <f>Bil!C189</f>
        <v>178</v>
      </c>
      <c r="C1658" s="374">
        <f>Bil!D189</f>
        <v>0</v>
      </c>
      <c r="D1658" s="374">
        <f>Bil!E189</f>
        <v>0</v>
      </c>
      <c r="E1658" s="374"/>
      <c r="F1658" s="374"/>
      <c r="G1658" s="375">
        <f t="shared" si="57"/>
        <v>0</v>
      </c>
      <c r="H1658" s="375">
        <f t="shared" si="58"/>
        <v>0</v>
      </c>
      <c r="I1658" s="376"/>
    </row>
    <row r="1659" spans="1:9" x14ac:dyDescent="0.25">
      <c r="A1659" s="373">
        <v>158</v>
      </c>
      <c r="B1659" s="374">
        <f>Bil!C190</f>
        <v>179</v>
      </c>
      <c r="C1659" s="374">
        <f>Bil!D190</f>
        <v>0</v>
      </c>
      <c r="D1659" s="374">
        <f>Bil!E190</f>
        <v>0</v>
      </c>
      <c r="E1659" s="374"/>
      <c r="F1659" s="374"/>
      <c r="G1659" s="375">
        <f t="shared" si="57"/>
        <v>0</v>
      </c>
      <c r="H1659" s="375">
        <f t="shared" si="58"/>
        <v>0</v>
      </c>
      <c r="I1659" s="376"/>
    </row>
    <row r="1660" spans="1:9" x14ac:dyDescent="0.25">
      <c r="A1660" s="373">
        <v>158</v>
      </c>
      <c r="B1660" s="374">
        <f>Bil!C191</f>
        <v>180</v>
      </c>
      <c r="C1660" s="374">
        <f>Bil!D191</f>
        <v>0</v>
      </c>
      <c r="D1660" s="374">
        <f>Bil!E191</f>
        <v>0</v>
      </c>
      <c r="E1660" s="374"/>
      <c r="F1660" s="374"/>
      <c r="G1660" s="375">
        <f t="shared" si="57"/>
        <v>0</v>
      </c>
      <c r="H1660" s="375">
        <f t="shared" si="58"/>
        <v>0</v>
      </c>
      <c r="I1660" s="376"/>
    </row>
    <row r="1661" spans="1:9" x14ac:dyDescent="0.25">
      <c r="A1661" s="373">
        <v>158</v>
      </c>
      <c r="B1661" s="374">
        <f>Bil!C192</f>
        <v>181</v>
      </c>
      <c r="C1661" s="374">
        <f>Bil!D192</f>
        <v>0</v>
      </c>
      <c r="D1661" s="374">
        <f>Bil!E192</f>
        <v>0</v>
      </c>
      <c r="E1661" s="374"/>
      <c r="F1661" s="374"/>
      <c r="G1661" s="375">
        <f t="shared" si="57"/>
        <v>0</v>
      </c>
      <c r="H1661" s="375">
        <f t="shared" si="58"/>
        <v>0</v>
      </c>
      <c r="I1661" s="376"/>
    </row>
    <row r="1662" spans="1:9" x14ac:dyDescent="0.25">
      <c r="A1662" s="373">
        <v>158</v>
      </c>
      <c r="B1662" s="374">
        <f>Bil!C193</f>
        <v>182</v>
      </c>
      <c r="C1662" s="374">
        <f>Bil!D193</f>
        <v>0</v>
      </c>
      <c r="D1662" s="374">
        <f>Bil!E193</f>
        <v>0</v>
      </c>
      <c r="E1662" s="374"/>
      <c r="F1662" s="374"/>
      <c r="G1662" s="375">
        <f t="shared" si="57"/>
        <v>0</v>
      </c>
      <c r="H1662" s="375">
        <f t="shared" si="58"/>
        <v>0</v>
      </c>
      <c r="I1662" s="376"/>
    </row>
    <row r="1663" spans="1:9" x14ac:dyDescent="0.25">
      <c r="A1663" s="373">
        <v>158</v>
      </c>
      <c r="B1663" s="374">
        <f>Bil!C194</f>
        <v>183</v>
      </c>
      <c r="C1663" s="374">
        <f>Bil!D194</f>
        <v>0</v>
      </c>
      <c r="D1663" s="374">
        <f>Bil!E194</f>
        <v>0</v>
      </c>
      <c r="E1663" s="374"/>
      <c r="F1663" s="374"/>
      <c r="G1663" s="375">
        <f t="shared" si="57"/>
        <v>0</v>
      </c>
      <c r="H1663" s="375">
        <f t="shared" si="58"/>
        <v>0</v>
      </c>
      <c r="I1663" s="376"/>
    </row>
    <row r="1664" spans="1:9" x14ac:dyDescent="0.25">
      <c r="A1664" s="373">
        <v>158</v>
      </c>
      <c r="B1664" s="374">
        <f>Bil!C195</f>
        <v>184</v>
      </c>
      <c r="C1664" s="374">
        <f>Bil!D195</f>
        <v>0</v>
      </c>
      <c r="D1664" s="374">
        <f>Bil!E195</f>
        <v>0</v>
      </c>
      <c r="E1664" s="374"/>
      <c r="F1664" s="374"/>
      <c r="G1664" s="375">
        <f t="shared" si="57"/>
        <v>0</v>
      </c>
      <c r="H1664" s="375">
        <f t="shared" si="58"/>
        <v>0</v>
      </c>
      <c r="I1664" s="376"/>
    </row>
    <row r="1665" spans="1:9" x14ac:dyDescent="0.25">
      <c r="A1665" s="373">
        <v>158</v>
      </c>
      <c r="B1665" s="374">
        <f>Bil!C196</f>
        <v>185</v>
      </c>
      <c r="C1665" s="374">
        <f>Bil!D196</f>
        <v>0</v>
      </c>
      <c r="D1665" s="374">
        <f>Bil!E196</f>
        <v>0</v>
      </c>
      <c r="E1665" s="374"/>
      <c r="F1665" s="374"/>
      <c r="G1665" s="375">
        <f t="shared" si="57"/>
        <v>0</v>
      </c>
      <c r="H1665" s="375">
        <f t="shared" si="58"/>
        <v>0</v>
      </c>
      <c r="I1665" s="376"/>
    </row>
    <row r="1666" spans="1:9" x14ac:dyDescent="0.25">
      <c r="A1666" s="373">
        <v>158</v>
      </c>
      <c r="B1666" s="374">
        <f>Bil!C197</f>
        <v>186</v>
      </c>
      <c r="C1666" s="374">
        <f>Bil!D197</f>
        <v>0</v>
      </c>
      <c r="D1666" s="374">
        <f>Bil!E197</f>
        <v>0</v>
      </c>
      <c r="E1666" s="374"/>
      <c r="F1666" s="374"/>
      <c r="G1666" s="375">
        <f t="shared" si="57"/>
        <v>0</v>
      </c>
      <c r="H1666" s="375">
        <f t="shared" si="58"/>
        <v>0</v>
      </c>
      <c r="I1666" s="376"/>
    </row>
    <row r="1667" spans="1:9" x14ac:dyDescent="0.25">
      <c r="A1667" s="373">
        <v>158</v>
      </c>
      <c r="B1667" s="374">
        <f>Bil!C198</f>
        <v>187</v>
      </c>
      <c r="C1667" s="374">
        <f>Bil!D198</f>
        <v>0</v>
      </c>
      <c r="D1667" s="374">
        <f>Bil!E198</f>
        <v>0</v>
      </c>
      <c r="E1667" s="374"/>
      <c r="F1667" s="374"/>
      <c r="G1667" s="375">
        <f t="shared" si="57"/>
        <v>0</v>
      </c>
      <c r="H1667" s="375">
        <f t="shared" si="58"/>
        <v>0</v>
      </c>
      <c r="I1667" s="376"/>
    </row>
    <row r="1668" spans="1:9" x14ac:dyDescent="0.25">
      <c r="A1668" s="373">
        <v>158</v>
      </c>
      <c r="B1668" s="374">
        <f>Bil!C199</f>
        <v>188</v>
      </c>
      <c r="C1668" s="374">
        <f>Bil!D199</f>
        <v>0</v>
      </c>
      <c r="D1668" s="374">
        <f>Bil!E199</f>
        <v>0</v>
      </c>
      <c r="E1668" s="374"/>
      <c r="F1668" s="374"/>
      <c r="G1668" s="375">
        <f t="shared" si="57"/>
        <v>0</v>
      </c>
      <c r="H1668" s="375">
        <f t="shared" si="58"/>
        <v>0</v>
      </c>
      <c r="I1668" s="376"/>
    </row>
    <row r="1669" spans="1:9" x14ac:dyDescent="0.25">
      <c r="A1669" s="373">
        <v>158</v>
      </c>
      <c r="B1669" s="374">
        <f>Bil!C200</f>
        <v>189</v>
      </c>
      <c r="C1669" s="374">
        <f>Bil!D200</f>
        <v>0</v>
      </c>
      <c r="D1669" s="374">
        <f>Bil!E200</f>
        <v>0</v>
      </c>
      <c r="E1669" s="374"/>
      <c r="F1669" s="374"/>
      <c r="G1669" s="375">
        <f t="shared" si="57"/>
        <v>0</v>
      </c>
      <c r="H1669" s="375">
        <f t="shared" si="58"/>
        <v>0</v>
      </c>
      <c r="I1669" s="376"/>
    </row>
    <row r="1670" spans="1:9" x14ac:dyDescent="0.25">
      <c r="A1670" s="373">
        <v>158</v>
      </c>
      <c r="B1670" s="374">
        <f>Bil!C201</f>
        <v>190</v>
      </c>
      <c r="C1670" s="374">
        <f>Bil!D201</f>
        <v>0</v>
      </c>
      <c r="D1670" s="374">
        <f>Bil!E201</f>
        <v>0</v>
      </c>
      <c r="E1670" s="374"/>
      <c r="F1670" s="374"/>
      <c r="G1670" s="375">
        <f t="shared" si="57"/>
        <v>0</v>
      </c>
      <c r="H1670" s="375">
        <f t="shared" si="58"/>
        <v>0</v>
      </c>
      <c r="I1670" s="376"/>
    </row>
    <row r="1671" spans="1:9" x14ac:dyDescent="0.25">
      <c r="A1671" s="373">
        <v>158</v>
      </c>
      <c r="B1671" s="374">
        <f>Bil!C202</f>
        <v>191</v>
      </c>
      <c r="C1671" s="374">
        <f>Bil!D202</f>
        <v>0</v>
      </c>
      <c r="D1671" s="374">
        <f>Bil!E202</f>
        <v>0</v>
      </c>
      <c r="E1671" s="374"/>
      <c r="F1671" s="374"/>
      <c r="G1671" s="375">
        <f t="shared" si="57"/>
        <v>0</v>
      </c>
      <c r="H1671" s="375">
        <f t="shared" si="58"/>
        <v>0</v>
      </c>
      <c r="I1671" s="376"/>
    </row>
    <row r="1672" spans="1:9" x14ac:dyDescent="0.25">
      <c r="A1672" s="373">
        <v>158</v>
      </c>
      <c r="B1672" s="374">
        <f>Bil!C203</f>
        <v>192</v>
      </c>
      <c r="C1672" s="374">
        <f>Bil!D203</f>
        <v>0</v>
      </c>
      <c r="D1672" s="374">
        <f>Bil!E203</f>
        <v>0</v>
      </c>
      <c r="E1672" s="374"/>
      <c r="F1672" s="374"/>
      <c r="G1672" s="375">
        <f t="shared" si="57"/>
        <v>0</v>
      </c>
      <c r="H1672" s="375">
        <f t="shared" si="58"/>
        <v>0</v>
      </c>
      <c r="I1672" s="376"/>
    </row>
    <row r="1673" spans="1:9" x14ac:dyDescent="0.25">
      <c r="A1673" s="373">
        <v>158</v>
      </c>
      <c r="B1673" s="374">
        <f>Bil!C204</f>
        <v>193</v>
      </c>
      <c r="C1673" s="374">
        <f>Bil!D204</f>
        <v>0</v>
      </c>
      <c r="D1673" s="374">
        <f>Bil!E204</f>
        <v>0</v>
      </c>
      <c r="E1673" s="374"/>
      <c r="F1673" s="374"/>
      <c r="G1673" s="375">
        <f t="shared" si="57"/>
        <v>0</v>
      </c>
      <c r="H1673" s="375">
        <f t="shared" si="58"/>
        <v>0</v>
      </c>
      <c r="I1673" s="376"/>
    </row>
    <row r="1674" spans="1:9" x14ac:dyDescent="0.25">
      <c r="A1674" s="373">
        <v>158</v>
      </c>
      <c r="B1674" s="374">
        <f>Bil!C205</f>
        <v>194</v>
      </c>
      <c r="C1674" s="374">
        <f>Bil!D205</f>
        <v>0</v>
      </c>
      <c r="D1674" s="374">
        <f>Bil!E205</f>
        <v>0</v>
      </c>
      <c r="E1674" s="374"/>
      <c r="F1674" s="374"/>
      <c r="G1674" s="375">
        <f t="shared" si="57"/>
        <v>0</v>
      </c>
      <c r="H1674" s="375">
        <f t="shared" si="58"/>
        <v>0</v>
      </c>
      <c r="I1674" s="376"/>
    </row>
    <row r="1675" spans="1:9" x14ac:dyDescent="0.25">
      <c r="A1675" s="373">
        <v>158</v>
      </c>
      <c r="B1675" s="374">
        <f>Bil!C206</f>
        <v>195</v>
      </c>
      <c r="C1675" s="374">
        <f>Bil!D206</f>
        <v>0</v>
      </c>
      <c r="D1675" s="374">
        <f>Bil!E206</f>
        <v>0</v>
      </c>
      <c r="E1675" s="374"/>
      <c r="F1675" s="374"/>
      <c r="G1675" s="375">
        <f t="shared" si="57"/>
        <v>0</v>
      </c>
      <c r="H1675" s="375">
        <f t="shared" si="58"/>
        <v>0</v>
      </c>
      <c r="I1675" s="376"/>
    </row>
    <row r="1676" spans="1:9" x14ac:dyDescent="0.25">
      <c r="A1676" s="373">
        <v>158</v>
      </c>
      <c r="B1676" s="374">
        <f>Bil!C207</f>
        <v>196</v>
      </c>
      <c r="C1676" s="374">
        <f>Bil!D207</f>
        <v>0</v>
      </c>
      <c r="D1676" s="374">
        <f>Bil!E207</f>
        <v>0</v>
      </c>
      <c r="E1676" s="374"/>
      <c r="F1676" s="374"/>
      <c r="G1676" s="375">
        <f t="shared" ref="G1676:G1694" si="59">B1676/1000*C1676+B1676/500*D1676</f>
        <v>0</v>
      </c>
      <c r="H1676" s="375">
        <f t="shared" ref="H1676:H1694" si="60">ABS(C1676-ROUND(C1676,0))+ABS(D1676-ROUND(D1676,0))</f>
        <v>0</v>
      </c>
      <c r="I1676" s="376"/>
    </row>
    <row r="1677" spans="1:9" x14ac:dyDescent="0.25">
      <c r="A1677" s="373">
        <v>158</v>
      </c>
      <c r="B1677" s="374">
        <f>Bil!C208</f>
        <v>197</v>
      </c>
      <c r="C1677" s="374">
        <f>Bil!D208</f>
        <v>0</v>
      </c>
      <c r="D1677" s="374">
        <f>Bil!E208</f>
        <v>0</v>
      </c>
      <c r="E1677" s="374"/>
      <c r="F1677" s="374"/>
      <c r="G1677" s="375">
        <f t="shared" si="59"/>
        <v>0</v>
      </c>
      <c r="H1677" s="375">
        <f t="shared" si="60"/>
        <v>0</v>
      </c>
      <c r="I1677" s="376"/>
    </row>
    <row r="1678" spans="1:9" x14ac:dyDescent="0.25">
      <c r="A1678" s="373">
        <v>158</v>
      </c>
      <c r="B1678" s="374">
        <f>Bil!C209</f>
        <v>198</v>
      </c>
      <c r="C1678" s="374">
        <f>Bil!D209</f>
        <v>0</v>
      </c>
      <c r="D1678" s="374">
        <f>Bil!E209</f>
        <v>0</v>
      </c>
      <c r="E1678" s="374"/>
      <c r="F1678" s="374"/>
      <c r="G1678" s="375">
        <f t="shared" si="59"/>
        <v>0</v>
      </c>
      <c r="H1678" s="375">
        <f t="shared" si="60"/>
        <v>0</v>
      </c>
      <c r="I1678" s="376"/>
    </row>
    <row r="1679" spans="1:9" x14ac:dyDescent="0.25">
      <c r="A1679" s="373">
        <v>158</v>
      </c>
      <c r="B1679" s="374">
        <f>Bil!C210</f>
        <v>199</v>
      </c>
      <c r="C1679" s="374">
        <f>Bil!D210</f>
        <v>0</v>
      </c>
      <c r="D1679" s="374">
        <f>Bil!E210</f>
        <v>0</v>
      </c>
      <c r="E1679" s="374"/>
      <c r="F1679" s="374"/>
      <c r="G1679" s="375">
        <f t="shared" si="59"/>
        <v>0</v>
      </c>
      <c r="H1679" s="375">
        <f t="shared" si="60"/>
        <v>0</v>
      </c>
      <c r="I1679" s="376"/>
    </row>
    <row r="1680" spans="1:9" x14ac:dyDescent="0.25">
      <c r="A1680" s="373">
        <v>158</v>
      </c>
      <c r="B1680" s="374">
        <f>Bil!C211</f>
        <v>200</v>
      </c>
      <c r="C1680" s="374">
        <f>Bil!D211</f>
        <v>0</v>
      </c>
      <c r="D1680" s="374">
        <f>Bil!E211</f>
        <v>0</v>
      </c>
      <c r="E1680" s="374"/>
      <c r="F1680" s="374"/>
      <c r="G1680" s="375">
        <f t="shared" si="59"/>
        <v>0</v>
      </c>
      <c r="H1680" s="375">
        <f t="shared" si="60"/>
        <v>0</v>
      </c>
      <c r="I1680" s="376"/>
    </row>
    <row r="1681" spans="1:9" x14ac:dyDescent="0.25">
      <c r="A1681" s="373">
        <v>158</v>
      </c>
      <c r="B1681" s="374">
        <f>Bil!C212</f>
        <v>201</v>
      </c>
      <c r="C1681" s="374">
        <f>Bil!D212</f>
        <v>0</v>
      </c>
      <c r="D1681" s="374">
        <f>Bil!E212</f>
        <v>0</v>
      </c>
      <c r="E1681" s="374"/>
      <c r="F1681" s="374"/>
      <c r="G1681" s="375">
        <f t="shared" si="59"/>
        <v>0</v>
      </c>
      <c r="H1681" s="375">
        <f t="shared" si="60"/>
        <v>0</v>
      </c>
      <c r="I1681" s="376"/>
    </row>
    <row r="1682" spans="1:9" x14ac:dyDescent="0.25">
      <c r="A1682" s="373">
        <v>158</v>
      </c>
      <c r="B1682" s="374">
        <f>Bil!C213</f>
        <v>202</v>
      </c>
      <c r="C1682" s="374">
        <f>Bil!D213</f>
        <v>0</v>
      </c>
      <c r="D1682" s="374">
        <f>Bil!E213</f>
        <v>0</v>
      </c>
      <c r="E1682" s="374"/>
      <c r="F1682" s="374"/>
      <c r="G1682" s="375">
        <f t="shared" si="59"/>
        <v>0</v>
      </c>
      <c r="H1682" s="375">
        <f t="shared" si="60"/>
        <v>0</v>
      </c>
      <c r="I1682" s="376"/>
    </row>
    <row r="1683" spans="1:9" x14ac:dyDescent="0.25">
      <c r="A1683" s="373">
        <v>158</v>
      </c>
      <c r="B1683" s="374">
        <f>Bil!C214</f>
        <v>203</v>
      </c>
      <c r="C1683" s="374">
        <f>Bil!D214</f>
        <v>0</v>
      </c>
      <c r="D1683" s="374">
        <f>Bil!E214</f>
        <v>0</v>
      </c>
      <c r="E1683" s="374"/>
      <c r="F1683" s="374"/>
      <c r="G1683" s="375">
        <f t="shared" si="59"/>
        <v>0</v>
      </c>
      <c r="H1683" s="375">
        <f t="shared" si="60"/>
        <v>0</v>
      </c>
      <c r="I1683" s="376"/>
    </row>
    <row r="1684" spans="1:9" x14ac:dyDescent="0.25">
      <c r="A1684" s="373">
        <v>158</v>
      </c>
      <c r="B1684" s="374">
        <f>Bil!C215</f>
        <v>204</v>
      </c>
      <c r="C1684" s="374">
        <f>Bil!D215</f>
        <v>0</v>
      </c>
      <c r="D1684" s="374">
        <f>Bil!E215</f>
        <v>0</v>
      </c>
      <c r="E1684" s="374"/>
      <c r="F1684" s="374"/>
      <c r="G1684" s="375">
        <f t="shared" si="59"/>
        <v>0</v>
      </c>
      <c r="H1684" s="375">
        <f t="shared" si="60"/>
        <v>0</v>
      </c>
      <c r="I1684" s="376"/>
    </row>
    <row r="1685" spans="1:9" x14ac:dyDescent="0.25">
      <c r="A1685" s="373">
        <v>158</v>
      </c>
      <c r="B1685" s="374">
        <f>Bil!C216</f>
        <v>205</v>
      </c>
      <c r="C1685" s="374">
        <f>Bil!D216</f>
        <v>9277880</v>
      </c>
      <c r="D1685" s="374">
        <f>Bil!E216</f>
        <v>8938489</v>
      </c>
      <c r="E1685" s="374"/>
      <c r="F1685" s="374"/>
      <c r="G1685" s="375">
        <f t="shared" si="59"/>
        <v>5566745.8899999997</v>
      </c>
      <c r="H1685" s="375">
        <f t="shared" si="60"/>
        <v>0</v>
      </c>
      <c r="I1685" s="376"/>
    </row>
    <row r="1686" spans="1:9" x14ac:dyDescent="0.25">
      <c r="A1686" s="373">
        <v>158</v>
      </c>
      <c r="B1686" s="374">
        <f>Bil!C217</f>
        <v>206</v>
      </c>
      <c r="C1686" s="374">
        <f>Bil!D217</f>
        <v>8927974</v>
      </c>
      <c r="D1686" s="374">
        <f>Bil!E217</f>
        <v>8678816</v>
      </c>
      <c r="E1686" s="374"/>
      <c r="F1686" s="374"/>
      <c r="G1686" s="375">
        <f t="shared" si="59"/>
        <v>5414834.8359999992</v>
      </c>
      <c r="H1686" s="375">
        <f t="shared" si="60"/>
        <v>0</v>
      </c>
      <c r="I1686" s="376"/>
    </row>
    <row r="1687" spans="1:9" x14ac:dyDescent="0.25">
      <c r="A1687" s="373">
        <v>158</v>
      </c>
      <c r="B1687" s="374">
        <f>Bil!C218</f>
        <v>207</v>
      </c>
      <c r="C1687" s="374">
        <f>Bil!D218</f>
        <v>8927974</v>
      </c>
      <c r="D1687" s="374">
        <f>Bil!E218</f>
        <v>8678816</v>
      </c>
      <c r="E1687" s="374"/>
      <c r="F1687" s="374"/>
      <c r="G1687" s="375">
        <f t="shared" si="59"/>
        <v>5441120.4419999998</v>
      </c>
      <c r="H1687" s="375">
        <f t="shared" si="60"/>
        <v>0</v>
      </c>
      <c r="I1687" s="376"/>
    </row>
    <row r="1688" spans="1:9" x14ac:dyDescent="0.25">
      <c r="A1688" s="373">
        <v>158</v>
      </c>
      <c r="B1688" s="374">
        <f>Bil!C219</f>
        <v>208</v>
      </c>
      <c r="C1688" s="374">
        <f>Bil!D219</f>
        <v>8927974</v>
      </c>
      <c r="D1688" s="374">
        <f>Bil!E219</f>
        <v>8678816</v>
      </c>
      <c r="E1688" s="374"/>
      <c r="F1688" s="374"/>
      <c r="G1688" s="375">
        <f t="shared" si="59"/>
        <v>5467406.0479999995</v>
      </c>
      <c r="H1688" s="375">
        <f t="shared" si="60"/>
        <v>0</v>
      </c>
      <c r="I1688" s="376"/>
    </row>
    <row r="1689" spans="1:9" x14ac:dyDescent="0.25">
      <c r="A1689" s="373">
        <v>158</v>
      </c>
      <c r="B1689" s="374">
        <f>Bil!C220</f>
        <v>209</v>
      </c>
      <c r="C1689" s="374">
        <f>Bil!D220</f>
        <v>0</v>
      </c>
      <c r="D1689" s="374">
        <f>Bil!E220</f>
        <v>0</v>
      </c>
      <c r="E1689" s="374"/>
      <c r="F1689" s="374"/>
      <c r="G1689" s="375">
        <f t="shared" si="59"/>
        <v>0</v>
      </c>
      <c r="H1689" s="375">
        <f t="shared" si="60"/>
        <v>0</v>
      </c>
      <c r="I1689" s="376"/>
    </row>
    <row r="1690" spans="1:9" x14ac:dyDescent="0.25">
      <c r="A1690" s="373">
        <v>158</v>
      </c>
      <c r="B1690" s="374">
        <f>Bil!C221</f>
        <v>210</v>
      </c>
      <c r="C1690" s="374">
        <f>Bil!D221</f>
        <v>0</v>
      </c>
      <c r="D1690" s="374">
        <f>Bil!E221</f>
        <v>0</v>
      </c>
      <c r="E1690" s="374"/>
      <c r="F1690" s="374"/>
      <c r="G1690" s="375">
        <f t="shared" si="59"/>
        <v>0</v>
      </c>
      <c r="H1690" s="375">
        <f t="shared" si="60"/>
        <v>0</v>
      </c>
      <c r="I1690" s="376"/>
    </row>
    <row r="1691" spans="1:9" x14ac:dyDescent="0.25">
      <c r="A1691" s="373">
        <v>158</v>
      </c>
      <c r="B1691" s="374">
        <f>Bil!C222</f>
        <v>211</v>
      </c>
      <c r="C1691" s="374">
        <f>Bil!D222</f>
        <v>0</v>
      </c>
      <c r="D1691" s="374">
        <f>Bil!E222</f>
        <v>0</v>
      </c>
      <c r="E1691" s="374"/>
      <c r="F1691" s="374"/>
      <c r="G1691" s="375">
        <f t="shared" si="59"/>
        <v>0</v>
      </c>
      <c r="H1691" s="375">
        <f t="shared" si="60"/>
        <v>0</v>
      </c>
      <c r="I1691" s="376"/>
    </row>
    <row r="1692" spans="1:9" x14ac:dyDescent="0.25">
      <c r="A1692" s="373">
        <v>158</v>
      </c>
      <c r="B1692" s="374">
        <f>Bil!C223</f>
        <v>212</v>
      </c>
      <c r="C1692" s="374">
        <f>Bil!D223</f>
        <v>0</v>
      </c>
      <c r="D1692" s="374">
        <f>Bil!E223</f>
        <v>0</v>
      </c>
      <c r="E1692" s="374"/>
      <c r="F1692" s="374"/>
      <c r="G1692" s="375">
        <f t="shared" si="59"/>
        <v>0</v>
      </c>
      <c r="H1692" s="375">
        <f t="shared" si="60"/>
        <v>0</v>
      </c>
      <c r="I1692" s="376"/>
    </row>
    <row r="1693" spans="1:9" x14ac:dyDescent="0.25">
      <c r="A1693" s="373">
        <v>158</v>
      </c>
      <c r="B1693" s="374">
        <f>Bil!C224</f>
        <v>213</v>
      </c>
      <c r="C1693" s="374">
        <f>Bil!D224</f>
        <v>0</v>
      </c>
      <c r="D1693" s="374">
        <f>Bil!E224</f>
        <v>0</v>
      </c>
      <c r="E1693" s="374"/>
      <c r="F1693" s="374"/>
      <c r="G1693" s="375">
        <f t="shared" si="59"/>
        <v>0</v>
      </c>
      <c r="H1693" s="375">
        <f t="shared" si="60"/>
        <v>0</v>
      </c>
      <c r="I1693" s="376"/>
    </row>
    <row r="1694" spans="1:9" x14ac:dyDescent="0.25">
      <c r="A1694" s="373">
        <v>158</v>
      </c>
      <c r="B1694" s="374">
        <f>Bil!C225</f>
        <v>214</v>
      </c>
      <c r="C1694" s="374">
        <f>Bil!D225</f>
        <v>1448714</v>
      </c>
      <c r="D1694" s="374">
        <f>Bil!E225</f>
        <v>1399999</v>
      </c>
      <c r="E1694" s="374"/>
      <c r="F1694" s="374"/>
      <c r="G1694" s="375">
        <f t="shared" si="59"/>
        <v>909224.36800000002</v>
      </c>
      <c r="H1694" s="375">
        <f t="shared" si="60"/>
        <v>0</v>
      </c>
      <c r="I1694" s="376"/>
    </row>
    <row r="1695" spans="1:9" x14ac:dyDescent="0.25">
      <c r="A1695" s="373">
        <v>158</v>
      </c>
      <c r="B1695" s="374">
        <f>Bil!C226</f>
        <v>215</v>
      </c>
      <c r="C1695" s="374">
        <f>Bil!D226</f>
        <v>1448714</v>
      </c>
      <c r="D1695" s="374">
        <f>Bil!E226</f>
        <v>1399999</v>
      </c>
      <c r="E1695" s="374"/>
      <c r="F1695" s="374"/>
      <c r="G1695" s="375">
        <f t="shared" ref="G1695:G1755" si="61">B1695/1000*C1695+B1695/500*D1695</f>
        <v>913473.08</v>
      </c>
      <c r="H1695" s="375">
        <f t="shared" ref="H1695:H1755" si="62">ABS(C1695-ROUND(C1695,0))+ABS(D1695-ROUND(D1695,0))</f>
        <v>0</v>
      </c>
      <c r="I1695" s="376"/>
    </row>
    <row r="1696" spans="1:9" x14ac:dyDescent="0.25">
      <c r="A1696" s="373">
        <v>158</v>
      </c>
      <c r="B1696" s="374">
        <f>Bil!C227</f>
        <v>216</v>
      </c>
      <c r="C1696" s="374">
        <f>Bil!D227</f>
        <v>0</v>
      </c>
      <c r="D1696" s="374">
        <f>Bil!E227</f>
        <v>0</v>
      </c>
      <c r="E1696" s="374"/>
      <c r="F1696" s="374"/>
      <c r="G1696" s="375">
        <f t="shared" si="61"/>
        <v>0</v>
      </c>
      <c r="H1696" s="375">
        <f t="shared" si="62"/>
        <v>0</v>
      </c>
      <c r="I1696" s="376"/>
    </row>
    <row r="1697" spans="1:9" x14ac:dyDescent="0.25">
      <c r="A1697" s="373">
        <v>158</v>
      </c>
      <c r="B1697" s="374">
        <f>Bil!C228</f>
        <v>217</v>
      </c>
      <c r="C1697" s="374">
        <f>Bil!D228</f>
        <v>0</v>
      </c>
      <c r="D1697" s="374">
        <f>Bil!E228</f>
        <v>0</v>
      </c>
      <c r="E1697" s="374"/>
      <c r="F1697" s="374"/>
      <c r="G1697" s="375">
        <f t="shared" si="61"/>
        <v>0</v>
      </c>
      <c r="H1697" s="375">
        <f t="shared" si="62"/>
        <v>0</v>
      </c>
      <c r="I1697" s="376"/>
    </row>
    <row r="1698" spans="1:9" x14ac:dyDescent="0.25">
      <c r="A1698" s="373">
        <v>158</v>
      </c>
      <c r="B1698" s="374">
        <f>Bil!C229</f>
        <v>218</v>
      </c>
      <c r="C1698" s="374">
        <f>Bil!D229</f>
        <v>1218698</v>
      </c>
      <c r="D1698" s="374">
        <f>Bil!E229</f>
        <v>1295729</v>
      </c>
      <c r="E1698" s="374"/>
      <c r="F1698" s="374"/>
      <c r="G1698" s="375">
        <f t="shared" si="61"/>
        <v>830614.00800000003</v>
      </c>
      <c r="H1698" s="375">
        <f t="shared" si="62"/>
        <v>0</v>
      </c>
      <c r="I1698" s="376"/>
    </row>
    <row r="1699" spans="1:9" x14ac:dyDescent="0.25">
      <c r="A1699" s="373">
        <v>158</v>
      </c>
      <c r="B1699" s="374">
        <f>Bil!C230</f>
        <v>219</v>
      </c>
      <c r="C1699" s="374">
        <f>Bil!D230</f>
        <v>0</v>
      </c>
      <c r="D1699" s="374">
        <f>Bil!E230</f>
        <v>0</v>
      </c>
      <c r="E1699" s="374"/>
      <c r="F1699" s="374"/>
      <c r="G1699" s="375">
        <f t="shared" si="61"/>
        <v>0</v>
      </c>
      <c r="H1699" s="375">
        <f t="shared" si="62"/>
        <v>0</v>
      </c>
      <c r="I1699" s="376"/>
    </row>
    <row r="1700" spans="1:9" x14ac:dyDescent="0.25">
      <c r="A1700" s="373">
        <v>158</v>
      </c>
      <c r="B1700" s="374">
        <f>Bil!C231</f>
        <v>220</v>
      </c>
      <c r="C1700" s="374">
        <f>Bil!D231</f>
        <v>1152798</v>
      </c>
      <c r="D1700" s="374">
        <f>Bil!E231</f>
        <v>1229829</v>
      </c>
      <c r="E1700" s="374"/>
      <c r="F1700" s="374"/>
      <c r="G1700" s="375">
        <f t="shared" si="61"/>
        <v>794740.32000000007</v>
      </c>
      <c r="H1700" s="375">
        <f t="shared" si="62"/>
        <v>0</v>
      </c>
      <c r="I1700" s="376"/>
    </row>
    <row r="1701" spans="1:9" x14ac:dyDescent="0.25">
      <c r="A1701" s="373">
        <v>158</v>
      </c>
      <c r="B1701" s="374">
        <f>Bil!C232</f>
        <v>221</v>
      </c>
      <c r="C1701" s="374">
        <f>Bil!D232</f>
        <v>65900</v>
      </c>
      <c r="D1701" s="374">
        <f>Bil!E232</f>
        <v>65900</v>
      </c>
      <c r="E1701" s="374"/>
      <c r="F1701" s="374"/>
      <c r="G1701" s="375">
        <f t="shared" si="61"/>
        <v>43691.7</v>
      </c>
      <c r="H1701" s="375">
        <f t="shared" si="62"/>
        <v>0</v>
      </c>
      <c r="I1701" s="376"/>
    </row>
    <row r="1702" spans="1:9" x14ac:dyDescent="0.25">
      <c r="A1702" s="373">
        <v>158</v>
      </c>
      <c r="B1702" s="374">
        <f>Bil!C233</f>
        <v>222</v>
      </c>
      <c r="C1702" s="374">
        <f>Bil!D233</f>
        <v>119890</v>
      </c>
      <c r="D1702" s="374">
        <f>Bil!E233</f>
        <v>155403</v>
      </c>
      <c r="E1702" s="374"/>
      <c r="F1702" s="374"/>
      <c r="G1702" s="375">
        <f t="shared" si="61"/>
        <v>95614.512000000002</v>
      </c>
      <c r="H1702" s="375">
        <f t="shared" si="62"/>
        <v>0</v>
      </c>
      <c r="I1702" s="376"/>
    </row>
    <row r="1703" spans="1:9" x14ac:dyDescent="0.25">
      <c r="A1703" s="373">
        <v>158</v>
      </c>
      <c r="B1703" s="374">
        <f>Bil!C234</f>
        <v>223</v>
      </c>
      <c r="C1703" s="374">
        <f>Bil!D234</f>
        <v>0</v>
      </c>
      <c r="D1703" s="374">
        <f>Bil!E234</f>
        <v>0</v>
      </c>
      <c r="E1703" s="374"/>
      <c r="F1703" s="374"/>
      <c r="G1703" s="375">
        <f t="shared" si="61"/>
        <v>0</v>
      </c>
      <c r="H1703" s="375">
        <f t="shared" si="62"/>
        <v>0</v>
      </c>
      <c r="I1703" s="376"/>
    </row>
    <row r="1704" spans="1:9" x14ac:dyDescent="0.25">
      <c r="A1704" s="373">
        <v>158</v>
      </c>
      <c r="B1704" s="374">
        <f>Bil!C235</f>
        <v>224</v>
      </c>
      <c r="C1704" s="374">
        <f>Bil!D235</f>
        <v>0</v>
      </c>
      <c r="D1704" s="374">
        <f>Bil!E235</f>
        <v>0</v>
      </c>
      <c r="E1704" s="374"/>
      <c r="F1704" s="374"/>
      <c r="G1704" s="375">
        <f t="shared" si="61"/>
        <v>0</v>
      </c>
      <c r="H1704" s="375">
        <f t="shared" si="62"/>
        <v>0</v>
      </c>
      <c r="I1704" s="376"/>
    </row>
    <row r="1705" spans="1:9" x14ac:dyDescent="0.25">
      <c r="A1705" s="373">
        <v>158</v>
      </c>
      <c r="B1705" s="374">
        <f>Bil!C236</f>
        <v>225</v>
      </c>
      <c r="C1705" s="374">
        <f>Bil!D236</f>
        <v>0</v>
      </c>
      <c r="D1705" s="374">
        <f>Bil!E236</f>
        <v>0</v>
      </c>
      <c r="E1705" s="374"/>
      <c r="F1705" s="374"/>
      <c r="G1705" s="375">
        <f t="shared" si="61"/>
        <v>0</v>
      </c>
      <c r="H1705" s="375">
        <f t="shared" si="62"/>
        <v>0</v>
      </c>
      <c r="I1705" s="376"/>
    </row>
    <row r="1706" spans="1:9" x14ac:dyDescent="0.25">
      <c r="A1706" s="373">
        <v>158</v>
      </c>
      <c r="B1706" s="374">
        <f>Bil!C237</f>
        <v>226</v>
      </c>
      <c r="C1706" s="374">
        <f>Bil!D237</f>
        <v>0</v>
      </c>
      <c r="D1706" s="374">
        <f>Bil!E237</f>
        <v>0</v>
      </c>
      <c r="E1706" s="374"/>
      <c r="F1706" s="374"/>
      <c r="G1706" s="375">
        <f t="shared" si="61"/>
        <v>0</v>
      </c>
      <c r="H1706" s="375">
        <f t="shared" si="62"/>
        <v>0</v>
      </c>
      <c r="I1706" s="376"/>
    </row>
    <row r="1707" spans="1:9" x14ac:dyDescent="0.25">
      <c r="A1707" s="373">
        <v>158</v>
      </c>
      <c r="B1707" s="374">
        <f>Bil!C238</f>
        <v>227</v>
      </c>
      <c r="C1707" s="374">
        <f>Bil!D238</f>
        <v>0</v>
      </c>
      <c r="D1707" s="374">
        <f>Bil!E238</f>
        <v>0</v>
      </c>
      <c r="E1707" s="374"/>
      <c r="F1707" s="374"/>
      <c r="G1707" s="375">
        <f t="shared" si="61"/>
        <v>0</v>
      </c>
      <c r="H1707" s="375">
        <f t="shared" si="62"/>
        <v>0</v>
      </c>
      <c r="I1707" s="376"/>
    </row>
    <row r="1708" spans="1:9" x14ac:dyDescent="0.25">
      <c r="A1708" s="373">
        <v>158</v>
      </c>
      <c r="B1708" s="374">
        <f>Bil!C240</f>
        <v>228</v>
      </c>
      <c r="C1708" s="374">
        <f>Bil!D240</f>
        <v>0</v>
      </c>
      <c r="D1708" s="374">
        <f>Bil!E240</f>
        <v>0</v>
      </c>
      <c r="E1708" s="374"/>
      <c r="F1708" s="374"/>
      <c r="G1708" s="375">
        <f t="shared" si="61"/>
        <v>0</v>
      </c>
      <c r="H1708" s="375">
        <f t="shared" si="62"/>
        <v>0</v>
      </c>
      <c r="I1708" s="376"/>
    </row>
    <row r="1709" spans="1:9" x14ac:dyDescent="0.25">
      <c r="A1709" s="373">
        <v>158</v>
      </c>
      <c r="B1709" s="374">
        <f>Bil!C241</f>
        <v>229</v>
      </c>
      <c r="C1709" s="374">
        <f>Bil!D241</f>
        <v>0</v>
      </c>
      <c r="D1709" s="374">
        <f>Bil!E241</f>
        <v>0</v>
      </c>
      <c r="E1709" s="374"/>
      <c r="F1709" s="374"/>
      <c r="G1709" s="375">
        <f t="shared" si="61"/>
        <v>0</v>
      </c>
      <c r="H1709" s="375">
        <f t="shared" si="62"/>
        <v>0</v>
      </c>
      <c r="I1709" s="376"/>
    </row>
    <row r="1710" spans="1:9" x14ac:dyDescent="0.25">
      <c r="A1710" s="373">
        <v>158</v>
      </c>
      <c r="B1710" s="374">
        <f>Bil!C242</f>
        <v>230</v>
      </c>
      <c r="C1710" s="374">
        <f>Bil!D242</f>
        <v>0</v>
      </c>
      <c r="D1710" s="374">
        <f>Bil!E242</f>
        <v>0</v>
      </c>
      <c r="E1710" s="374"/>
      <c r="F1710" s="374"/>
      <c r="G1710" s="375">
        <f t="shared" si="61"/>
        <v>0</v>
      </c>
      <c r="H1710" s="375">
        <f t="shared" si="62"/>
        <v>0</v>
      </c>
      <c r="I1710" s="376"/>
    </row>
    <row r="1711" spans="1:9" x14ac:dyDescent="0.25">
      <c r="A1711" s="373">
        <v>158</v>
      </c>
      <c r="B1711" s="374">
        <f>Bil!C243</f>
        <v>231</v>
      </c>
      <c r="C1711" s="374">
        <f>Bil!D243</f>
        <v>0</v>
      </c>
      <c r="D1711" s="374">
        <f>Bil!E243</f>
        <v>0</v>
      </c>
      <c r="E1711" s="374"/>
      <c r="F1711" s="374"/>
      <c r="G1711" s="375">
        <f t="shared" si="61"/>
        <v>0</v>
      </c>
      <c r="H1711" s="375">
        <f t="shared" si="62"/>
        <v>0</v>
      </c>
      <c r="I1711" s="376"/>
    </row>
    <row r="1712" spans="1:9" x14ac:dyDescent="0.25">
      <c r="A1712" s="373">
        <v>158</v>
      </c>
      <c r="B1712" s="374">
        <f>Bil!C244</f>
        <v>232</v>
      </c>
      <c r="C1712" s="374">
        <f>Bil!D244</f>
        <v>0</v>
      </c>
      <c r="D1712" s="374">
        <f>Bil!E244</f>
        <v>0</v>
      </c>
      <c r="E1712" s="374"/>
      <c r="F1712" s="374"/>
      <c r="G1712" s="375">
        <f t="shared" si="61"/>
        <v>0</v>
      </c>
      <c r="H1712" s="375">
        <f t="shared" si="62"/>
        <v>0</v>
      </c>
      <c r="I1712" s="376"/>
    </row>
    <row r="1713" spans="1:9" x14ac:dyDescent="0.25">
      <c r="A1713" s="373">
        <v>158</v>
      </c>
      <c r="B1713" s="374">
        <f>Bil!C245</f>
        <v>233</v>
      </c>
      <c r="C1713" s="374">
        <f>Bil!D245</f>
        <v>0</v>
      </c>
      <c r="D1713" s="374">
        <f>Bil!E245</f>
        <v>0</v>
      </c>
      <c r="E1713" s="374"/>
      <c r="F1713" s="374"/>
      <c r="G1713" s="375">
        <f t="shared" si="61"/>
        <v>0</v>
      </c>
      <c r="H1713" s="375">
        <f t="shared" si="62"/>
        <v>0</v>
      </c>
      <c r="I1713" s="376"/>
    </row>
    <row r="1714" spans="1:9" x14ac:dyDescent="0.25">
      <c r="A1714" s="373">
        <v>158</v>
      </c>
      <c r="B1714" s="374">
        <f>Bil!C246</f>
        <v>234</v>
      </c>
      <c r="C1714" s="374">
        <f>Bil!D246</f>
        <v>0</v>
      </c>
      <c r="D1714" s="374">
        <f>Bil!E246</f>
        <v>0</v>
      </c>
      <c r="E1714" s="374"/>
      <c r="F1714" s="374"/>
      <c r="G1714" s="375">
        <f t="shared" si="61"/>
        <v>0</v>
      </c>
      <c r="H1714" s="375">
        <f t="shared" si="62"/>
        <v>0</v>
      </c>
      <c r="I1714" s="376"/>
    </row>
    <row r="1715" spans="1:9" x14ac:dyDescent="0.25">
      <c r="A1715" s="373">
        <v>158</v>
      </c>
      <c r="B1715" s="374">
        <f>Bil!C247</f>
        <v>235</v>
      </c>
      <c r="C1715" s="374">
        <f>Bil!D247</f>
        <v>0</v>
      </c>
      <c r="D1715" s="374">
        <f>Bil!E247</f>
        <v>0</v>
      </c>
      <c r="E1715" s="374"/>
      <c r="F1715" s="374"/>
      <c r="G1715" s="375">
        <f t="shared" si="61"/>
        <v>0</v>
      </c>
      <c r="H1715" s="375">
        <f t="shared" si="62"/>
        <v>0</v>
      </c>
      <c r="I1715" s="376"/>
    </row>
    <row r="1716" spans="1:9" x14ac:dyDescent="0.25">
      <c r="A1716" s="373">
        <v>158</v>
      </c>
      <c r="B1716" s="374">
        <f>Bil!C248</f>
        <v>236</v>
      </c>
      <c r="C1716" s="374">
        <f>Bil!D248</f>
        <v>0</v>
      </c>
      <c r="D1716" s="374">
        <f>Bil!E248</f>
        <v>0</v>
      </c>
      <c r="E1716" s="374"/>
      <c r="F1716" s="374"/>
      <c r="G1716" s="375">
        <f t="shared" si="61"/>
        <v>0</v>
      </c>
      <c r="H1716" s="375">
        <f t="shared" si="62"/>
        <v>0</v>
      </c>
      <c r="I1716" s="376"/>
    </row>
    <row r="1717" spans="1:9" x14ac:dyDescent="0.25">
      <c r="A1717" s="373">
        <v>158</v>
      </c>
      <c r="B1717" s="374">
        <f>Bil!C249</f>
        <v>237</v>
      </c>
      <c r="C1717" s="374">
        <f>Bil!D249</f>
        <v>0</v>
      </c>
      <c r="D1717" s="374">
        <f>Bil!E249</f>
        <v>0</v>
      </c>
      <c r="E1717" s="374"/>
      <c r="F1717" s="374"/>
      <c r="G1717" s="375">
        <f t="shared" si="61"/>
        <v>0</v>
      </c>
      <c r="H1717" s="375">
        <f t="shared" si="62"/>
        <v>0</v>
      </c>
      <c r="I1717" s="376"/>
    </row>
    <row r="1718" spans="1:9" x14ac:dyDescent="0.25">
      <c r="A1718" s="373">
        <v>158</v>
      </c>
      <c r="B1718" s="374">
        <f>Bil!C250</f>
        <v>238</v>
      </c>
      <c r="C1718" s="374">
        <f>Bil!D250</f>
        <v>0</v>
      </c>
      <c r="D1718" s="374">
        <f>Bil!E250</f>
        <v>0</v>
      </c>
      <c r="E1718" s="374"/>
      <c r="F1718" s="374"/>
      <c r="G1718" s="375">
        <f t="shared" si="61"/>
        <v>0</v>
      </c>
      <c r="H1718" s="375">
        <f t="shared" si="62"/>
        <v>0</v>
      </c>
      <c r="I1718" s="376"/>
    </row>
    <row r="1719" spans="1:9" x14ac:dyDescent="0.25">
      <c r="A1719" s="373">
        <v>158</v>
      </c>
      <c r="B1719" s="374">
        <f>Bil!C251</f>
        <v>239</v>
      </c>
      <c r="C1719" s="374">
        <f>Bil!D251</f>
        <v>0</v>
      </c>
      <c r="D1719" s="374">
        <f>Bil!E251</f>
        <v>0</v>
      </c>
      <c r="E1719" s="374"/>
      <c r="F1719" s="374"/>
      <c r="G1719" s="375">
        <f t="shared" si="61"/>
        <v>0</v>
      </c>
      <c r="H1719" s="375">
        <f t="shared" si="62"/>
        <v>0</v>
      </c>
      <c r="I1719" s="376"/>
    </row>
    <row r="1720" spans="1:9" x14ac:dyDescent="0.25">
      <c r="A1720" s="373">
        <v>158</v>
      </c>
      <c r="B1720" s="374">
        <f>Bil!C252</f>
        <v>240</v>
      </c>
      <c r="C1720" s="374">
        <f>Bil!D252</f>
        <v>0</v>
      </c>
      <c r="D1720" s="374">
        <f>Bil!E252</f>
        <v>0</v>
      </c>
      <c r="E1720" s="374"/>
      <c r="F1720" s="374"/>
      <c r="G1720" s="375">
        <f t="shared" si="61"/>
        <v>0</v>
      </c>
      <c r="H1720" s="375">
        <f t="shared" si="62"/>
        <v>0</v>
      </c>
      <c r="I1720" s="376"/>
    </row>
    <row r="1721" spans="1:9" x14ac:dyDescent="0.25">
      <c r="A1721" s="373">
        <v>158</v>
      </c>
      <c r="B1721" s="374">
        <f>Bil!C253</f>
        <v>241</v>
      </c>
      <c r="C1721" s="374">
        <f>Bil!D253</f>
        <v>0</v>
      </c>
      <c r="D1721" s="374">
        <f>Bil!E253</f>
        <v>0</v>
      </c>
      <c r="E1721" s="374"/>
      <c r="F1721" s="374"/>
      <c r="G1721" s="375">
        <f t="shared" si="61"/>
        <v>0</v>
      </c>
      <c r="H1721" s="375">
        <f t="shared" si="62"/>
        <v>0</v>
      </c>
      <c r="I1721" s="376"/>
    </row>
    <row r="1722" spans="1:9" x14ac:dyDescent="0.25">
      <c r="A1722" s="373">
        <v>158</v>
      </c>
      <c r="B1722" s="374">
        <f>Bil!C254</f>
        <v>242</v>
      </c>
      <c r="C1722" s="374">
        <f>Bil!D254</f>
        <v>0</v>
      </c>
      <c r="D1722" s="374">
        <f>Bil!E254</f>
        <v>0</v>
      </c>
      <c r="E1722" s="374"/>
      <c r="F1722" s="374"/>
      <c r="G1722" s="375">
        <f t="shared" si="61"/>
        <v>0</v>
      </c>
      <c r="H1722" s="375">
        <f t="shared" si="62"/>
        <v>0</v>
      </c>
      <c r="I1722" s="376"/>
    </row>
    <row r="1723" spans="1:9" x14ac:dyDescent="0.25">
      <c r="A1723" s="373">
        <v>158</v>
      </c>
      <c r="B1723" s="374">
        <f>Bil!C255</f>
        <v>243</v>
      </c>
      <c r="C1723" s="374">
        <f>Bil!D255</f>
        <v>0</v>
      </c>
      <c r="D1723" s="374">
        <f>Bil!E255</f>
        <v>0</v>
      </c>
      <c r="E1723" s="374"/>
      <c r="F1723" s="374"/>
      <c r="G1723" s="375">
        <f t="shared" si="61"/>
        <v>0</v>
      </c>
      <c r="H1723" s="375">
        <f t="shared" si="62"/>
        <v>0</v>
      </c>
      <c r="I1723" s="376"/>
    </row>
    <row r="1724" spans="1:9" x14ac:dyDescent="0.25">
      <c r="A1724" s="373">
        <v>158</v>
      </c>
      <c r="B1724" s="374">
        <f>Bil!C256</f>
        <v>244</v>
      </c>
      <c r="C1724" s="374">
        <f>Bil!D256</f>
        <v>0</v>
      </c>
      <c r="D1724" s="374">
        <f>Bil!E256</f>
        <v>0</v>
      </c>
      <c r="E1724" s="374"/>
      <c r="F1724" s="374"/>
      <c r="G1724" s="375">
        <f t="shared" si="61"/>
        <v>0</v>
      </c>
      <c r="H1724" s="375">
        <f t="shared" si="62"/>
        <v>0</v>
      </c>
      <c r="I1724" s="376"/>
    </row>
    <row r="1725" spans="1:9" x14ac:dyDescent="0.25">
      <c r="A1725" s="373">
        <v>158</v>
      </c>
      <c r="B1725" s="374">
        <f>Bil!C257</f>
        <v>245</v>
      </c>
      <c r="C1725" s="374">
        <f>Bil!D257</f>
        <v>0</v>
      </c>
      <c r="D1725" s="374">
        <f>Bil!E257</f>
        <v>0</v>
      </c>
      <c r="E1725" s="374"/>
      <c r="F1725" s="374"/>
      <c r="G1725" s="375">
        <f t="shared" si="61"/>
        <v>0</v>
      </c>
      <c r="H1725" s="375">
        <f t="shared" si="62"/>
        <v>0</v>
      </c>
      <c r="I1725" s="376"/>
    </row>
    <row r="1726" spans="1:9" x14ac:dyDescent="0.25">
      <c r="A1726" s="373">
        <v>158</v>
      </c>
      <c r="B1726" s="374">
        <f>Bil!C258</f>
        <v>246</v>
      </c>
      <c r="C1726" s="374">
        <f>Bil!D258</f>
        <v>0</v>
      </c>
      <c r="D1726" s="374">
        <f>Bil!E258</f>
        <v>0</v>
      </c>
      <c r="E1726" s="374"/>
      <c r="F1726" s="374"/>
      <c r="G1726" s="375">
        <f t="shared" si="61"/>
        <v>0</v>
      </c>
      <c r="H1726" s="375">
        <f t="shared" si="62"/>
        <v>0</v>
      </c>
      <c r="I1726" s="376"/>
    </row>
    <row r="1727" spans="1:9" x14ac:dyDescent="0.25">
      <c r="A1727" s="373">
        <v>158</v>
      </c>
      <c r="B1727" s="374">
        <f>Bil!C259</f>
        <v>247</v>
      </c>
      <c r="C1727" s="374">
        <f>Bil!D259</f>
        <v>0</v>
      </c>
      <c r="D1727" s="374">
        <f>Bil!E259</f>
        <v>0</v>
      </c>
      <c r="E1727" s="374"/>
      <c r="F1727" s="374"/>
      <c r="G1727" s="375">
        <f t="shared" si="61"/>
        <v>0</v>
      </c>
      <c r="H1727" s="375">
        <f t="shared" si="62"/>
        <v>0</v>
      </c>
      <c r="I1727" s="376"/>
    </row>
    <row r="1728" spans="1:9" x14ac:dyDescent="0.25">
      <c r="A1728" s="373">
        <v>158</v>
      </c>
      <c r="B1728" s="374">
        <f>Bil!C260</f>
        <v>248</v>
      </c>
      <c r="C1728" s="374">
        <f>Bil!D260</f>
        <v>0</v>
      </c>
      <c r="D1728" s="374">
        <f>Bil!E260</f>
        <v>0</v>
      </c>
      <c r="E1728" s="374"/>
      <c r="F1728" s="374"/>
      <c r="G1728" s="375">
        <f t="shared" si="61"/>
        <v>0</v>
      </c>
      <c r="H1728" s="375">
        <f t="shared" si="62"/>
        <v>0</v>
      </c>
      <c r="I1728" s="376"/>
    </row>
    <row r="1729" spans="1:9" x14ac:dyDescent="0.25">
      <c r="A1729" s="373">
        <v>158</v>
      </c>
      <c r="B1729" s="374">
        <f>Bil!C261</f>
        <v>249</v>
      </c>
      <c r="C1729" s="374">
        <f>Bil!D261</f>
        <v>0</v>
      </c>
      <c r="D1729" s="374">
        <f>Bil!E261</f>
        <v>0</v>
      </c>
      <c r="E1729" s="374"/>
      <c r="F1729" s="374"/>
      <c r="G1729" s="375">
        <f t="shared" si="61"/>
        <v>0</v>
      </c>
      <c r="H1729" s="375">
        <f t="shared" si="62"/>
        <v>0</v>
      </c>
      <c r="I1729" s="376"/>
    </row>
    <row r="1730" spans="1:9" x14ac:dyDescent="0.25">
      <c r="A1730" s="373">
        <v>158</v>
      </c>
      <c r="B1730" s="374">
        <f>Bil!C262</f>
        <v>250</v>
      </c>
      <c r="C1730" s="374">
        <f>Bil!D262</f>
        <v>0</v>
      </c>
      <c r="D1730" s="374">
        <f>Bil!E262</f>
        <v>0</v>
      </c>
      <c r="E1730" s="374"/>
      <c r="F1730" s="374"/>
      <c r="G1730" s="375">
        <f t="shared" si="61"/>
        <v>0</v>
      </c>
      <c r="H1730" s="375">
        <f t="shared" si="62"/>
        <v>0</v>
      </c>
      <c r="I1730" s="376"/>
    </row>
    <row r="1731" spans="1:9" x14ac:dyDescent="0.25">
      <c r="A1731" s="373">
        <v>158</v>
      </c>
      <c r="B1731" s="374">
        <f>Bil!C263</f>
        <v>251</v>
      </c>
      <c r="C1731" s="374">
        <f>Bil!D263</f>
        <v>0</v>
      </c>
      <c r="D1731" s="374">
        <f>Bil!E263</f>
        <v>0</v>
      </c>
      <c r="E1731" s="374"/>
      <c r="F1731" s="374"/>
      <c r="G1731" s="375">
        <f t="shared" si="61"/>
        <v>0</v>
      </c>
      <c r="H1731" s="375">
        <f t="shared" si="62"/>
        <v>0</v>
      </c>
      <c r="I1731" s="376"/>
    </row>
    <row r="1732" spans="1:9" x14ac:dyDescent="0.25">
      <c r="A1732" s="373">
        <v>158</v>
      </c>
      <c r="B1732" s="374">
        <f>Bil!C264</f>
        <v>252</v>
      </c>
      <c r="C1732" s="374">
        <f>Bil!D264</f>
        <v>0</v>
      </c>
      <c r="D1732" s="374">
        <f>Bil!E264</f>
        <v>0</v>
      </c>
      <c r="E1732" s="374"/>
      <c r="F1732" s="374"/>
      <c r="G1732" s="375">
        <f t="shared" si="61"/>
        <v>0</v>
      </c>
      <c r="H1732" s="375">
        <f t="shared" si="62"/>
        <v>0</v>
      </c>
      <c r="I1732" s="376"/>
    </row>
    <row r="1733" spans="1:9" x14ac:dyDescent="0.25">
      <c r="A1733" s="373">
        <v>158</v>
      </c>
      <c r="B1733" s="374">
        <f>Bil!C265</f>
        <v>253</v>
      </c>
      <c r="C1733" s="374">
        <f>Bil!D265</f>
        <v>0</v>
      </c>
      <c r="D1733" s="374">
        <f>Bil!E265</f>
        <v>0</v>
      </c>
      <c r="E1733" s="374"/>
      <c r="F1733" s="374"/>
      <c r="G1733" s="375">
        <f t="shared" si="61"/>
        <v>0</v>
      </c>
      <c r="H1733" s="375">
        <f t="shared" si="62"/>
        <v>0</v>
      </c>
      <c r="I1733" s="376"/>
    </row>
    <row r="1734" spans="1:9" x14ac:dyDescent="0.25">
      <c r="A1734" s="373">
        <v>158</v>
      </c>
      <c r="B1734" s="374">
        <f>Bil!C266</f>
        <v>254</v>
      </c>
      <c r="C1734" s="374">
        <f>Bil!D266</f>
        <v>0</v>
      </c>
      <c r="D1734" s="374">
        <f>Bil!E266</f>
        <v>0</v>
      </c>
      <c r="E1734" s="374"/>
      <c r="F1734" s="374"/>
      <c r="G1734" s="375">
        <f t="shared" si="61"/>
        <v>0</v>
      </c>
      <c r="H1734" s="375">
        <f t="shared" si="62"/>
        <v>0</v>
      </c>
      <c r="I1734" s="376"/>
    </row>
    <row r="1735" spans="1:9" x14ac:dyDescent="0.25">
      <c r="A1735" s="373">
        <v>158</v>
      </c>
      <c r="B1735" s="374">
        <f>Bil!C267</f>
        <v>255</v>
      </c>
      <c r="C1735" s="374">
        <f>Bil!D267</f>
        <v>0</v>
      </c>
      <c r="D1735" s="374">
        <f>Bil!E267</f>
        <v>0</v>
      </c>
      <c r="E1735" s="374"/>
      <c r="F1735" s="374"/>
      <c r="G1735" s="375">
        <f t="shared" si="61"/>
        <v>0</v>
      </c>
      <c r="H1735" s="375">
        <f t="shared" si="62"/>
        <v>0</v>
      </c>
      <c r="I1735" s="376"/>
    </row>
    <row r="1736" spans="1:9" x14ac:dyDescent="0.25">
      <c r="A1736" s="373">
        <v>158</v>
      </c>
      <c r="B1736" s="374">
        <f>Bil!C268</f>
        <v>256</v>
      </c>
      <c r="C1736" s="374">
        <f>Bil!D268</f>
        <v>0</v>
      </c>
      <c r="D1736" s="374">
        <f>Bil!E268</f>
        <v>0</v>
      </c>
      <c r="E1736" s="374"/>
      <c r="F1736" s="374"/>
      <c r="G1736" s="375">
        <f t="shared" si="61"/>
        <v>0</v>
      </c>
      <c r="H1736" s="375">
        <f t="shared" si="62"/>
        <v>0</v>
      </c>
      <c r="I1736" s="376"/>
    </row>
    <row r="1737" spans="1:9" x14ac:dyDescent="0.25">
      <c r="A1737" s="373">
        <v>158</v>
      </c>
      <c r="B1737" s="374">
        <f>Bil!C269</f>
        <v>257</v>
      </c>
      <c r="C1737" s="374">
        <f>Bil!D269</f>
        <v>0</v>
      </c>
      <c r="D1737" s="374">
        <f>Bil!E269</f>
        <v>0</v>
      </c>
      <c r="E1737" s="374"/>
      <c r="F1737" s="374"/>
      <c r="G1737" s="375">
        <f t="shared" si="61"/>
        <v>0</v>
      </c>
      <c r="H1737" s="375">
        <f t="shared" si="62"/>
        <v>0</v>
      </c>
      <c r="I1737" s="376"/>
    </row>
    <row r="1738" spans="1:9" x14ac:dyDescent="0.25">
      <c r="A1738" s="373">
        <v>158</v>
      </c>
      <c r="B1738" s="374">
        <f>Bil!C270</f>
        <v>258</v>
      </c>
      <c r="C1738" s="374">
        <f>Bil!D270</f>
        <v>0</v>
      </c>
      <c r="D1738" s="374">
        <f>Bil!E270</f>
        <v>0</v>
      </c>
      <c r="E1738" s="374"/>
      <c r="F1738" s="374"/>
      <c r="G1738" s="375">
        <f t="shared" si="61"/>
        <v>0</v>
      </c>
      <c r="H1738" s="375">
        <f t="shared" si="62"/>
        <v>0</v>
      </c>
      <c r="I1738" s="376"/>
    </row>
    <row r="1739" spans="1:9" x14ac:dyDescent="0.25">
      <c r="A1739" s="373">
        <v>158</v>
      </c>
      <c r="B1739" s="374">
        <f>Bil!C271</f>
        <v>259</v>
      </c>
      <c r="C1739" s="374">
        <f>Bil!D271</f>
        <v>0</v>
      </c>
      <c r="D1739" s="374">
        <f>Bil!E271</f>
        <v>0</v>
      </c>
      <c r="E1739" s="374"/>
      <c r="F1739" s="374"/>
      <c r="G1739" s="375">
        <f t="shared" si="61"/>
        <v>0</v>
      </c>
      <c r="H1739" s="375">
        <f t="shared" si="62"/>
        <v>0</v>
      </c>
      <c r="I1739" s="376"/>
    </row>
    <row r="1740" spans="1:9" x14ac:dyDescent="0.25">
      <c r="A1740" s="373">
        <v>158</v>
      </c>
      <c r="B1740" s="374">
        <f>Bil!C272</f>
        <v>260</v>
      </c>
      <c r="C1740" s="374">
        <f>Bil!D272</f>
        <v>0</v>
      </c>
      <c r="D1740" s="374">
        <f>Bil!E272</f>
        <v>0</v>
      </c>
      <c r="E1740" s="374"/>
      <c r="F1740" s="374"/>
      <c r="G1740" s="375">
        <f t="shared" si="61"/>
        <v>0</v>
      </c>
      <c r="H1740" s="375">
        <f t="shared" si="62"/>
        <v>0</v>
      </c>
      <c r="I1740" s="376"/>
    </row>
    <row r="1741" spans="1:9" x14ac:dyDescent="0.25">
      <c r="A1741" s="373">
        <v>158</v>
      </c>
      <c r="B1741" s="374">
        <f>Bil!C273</f>
        <v>261</v>
      </c>
      <c r="C1741" s="374">
        <f>Bil!D273</f>
        <v>0</v>
      </c>
      <c r="D1741" s="374">
        <f>Bil!E273</f>
        <v>0</v>
      </c>
      <c r="E1741" s="374"/>
      <c r="F1741" s="374"/>
      <c r="G1741" s="375">
        <f t="shared" si="61"/>
        <v>0</v>
      </c>
      <c r="H1741" s="375">
        <f t="shared" si="62"/>
        <v>0</v>
      </c>
      <c r="I1741" s="376"/>
    </row>
    <row r="1742" spans="1:9" x14ac:dyDescent="0.25">
      <c r="A1742" s="373">
        <v>158</v>
      </c>
      <c r="B1742" s="374">
        <f>Bil!C274</f>
        <v>262</v>
      </c>
      <c r="C1742" s="374">
        <f>Bil!D274</f>
        <v>0</v>
      </c>
      <c r="D1742" s="374">
        <f>Bil!E274</f>
        <v>0</v>
      </c>
      <c r="E1742" s="374"/>
      <c r="F1742" s="374"/>
      <c r="G1742" s="375">
        <f t="shared" si="61"/>
        <v>0</v>
      </c>
      <c r="H1742" s="375">
        <f t="shared" si="62"/>
        <v>0</v>
      </c>
      <c r="I1742" s="376"/>
    </row>
    <row r="1743" spans="1:9" x14ac:dyDescent="0.25">
      <c r="A1743" s="373">
        <v>158</v>
      </c>
      <c r="B1743" s="374">
        <f>Bil!C276</f>
        <v>263</v>
      </c>
      <c r="C1743" s="374">
        <f>Bil!D276</f>
        <v>0</v>
      </c>
      <c r="D1743" s="374">
        <f>Bil!E276</f>
        <v>0</v>
      </c>
      <c r="E1743" s="374"/>
      <c r="F1743" s="374"/>
      <c r="G1743" s="375">
        <f t="shared" si="61"/>
        <v>0</v>
      </c>
      <c r="H1743" s="375">
        <f t="shared" si="62"/>
        <v>0</v>
      </c>
      <c r="I1743" s="376"/>
    </row>
    <row r="1744" spans="1:9" x14ac:dyDescent="0.25">
      <c r="A1744" s="373">
        <v>158</v>
      </c>
      <c r="B1744" s="374">
        <f>Bil!C277</f>
        <v>264</v>
      </c>
      <c r="C1744" s="374">
        <f>Bil!D277</f>
        <v>0</v>
      </c>
      <c r="D1744" s="374">
        <f>Bil!E277</f>
        <v>0</v>
      </c>
      <c r="E1744" s="374"/>
      <c r="F1744" s="374"/>
      <c r="G1744" s="375">
        <f t="shared" si="61"/>
        <v>0</v>
      </c>
      <c r="H1744" s="375">
        <f t="shared" si="62"/>
        <v>0</v>
      </c>
      <c r="I1744" s="376"/>
    </row>
    <row r="1745" spans="1:9" x14ac:dyDescent="0.25">
      <c r="A1745" s="373">
        <v>158</v>
      </c>
      <c r="B1745" s="374">
        <f>Bil!C278</f>
        <v>265</v>
      </c>
      <c r="C1745" s="374">
        <f>Bil!D278</f>
        <v>0</v>
      </c>
      <c r="D1745" s="374">
        <f>Bil!E278</f>
        <v>0</v>
      </c>
      <c r="E1745" s="374"/>
      <c r="F1745" s="374"/>
      <c r="G1745" s="375">
        <f t="shared" si="61"/>
        <v>0</v>
      </c>
      <c r="H1745" s="375">
        <f t="shared" si="62"/>
        <v>0</v>
      </c>
      <c r="I1745" s="376"/>
    </row>
    <row r="1746" spans="1:9" x14ac:dyDescent="0.25">
      <c r="A1746" s="373">
        <v>158</v>
      </c>
      <c r="B1746" s="374">
        <f>Bil!C279</f>
        <v>266</v>
      </c>
      <c r="C1746" s="374">
        <f>Bil!D279</f>
        <v>0</v>
      </c>
      <c r="D1746" s="374">
        <f>Bil!E279</f>
        <v>0</v>
      </c>
      <c r="E1746" s="374"/>
      <c r="F1746" s="374"/>
      <c r="G1746" s="375">
        <f t="shared" si="61"/>
        <v>0</v>
      </c>
      <c r="H1746" s="375">
        <f t="shared" si="62"/>
        <v>0</v>
      </c>
      <c r="I1746" s="376"/>
    </row>
    <row r="1747" spans="1:9" x14ac:dyDescent="0.25">
      <c r="A1747" s="373">
        <v>158</v>
      </c>
      <c r="B1747" s="374">
        <f>Bil!C280</f>
        <v>267</v>
      </c>
      <c r="C1747" s="374">
        <f>Bil!D280</f>
        <v>0</v>
      </c>
      <c r="D1747" s="374">
        <f>Bil!E280</f>
        <v>0</v>
      </c>
      <c r="E1747" s="374"/>
      <c r="F1747" s="374"/>
      <c r="G1747" s="375">
        <f t="shared" si="61"/>
        <v>0</v>
      </c>
      <c r="H1747" s="375">
        <f t="shared" si="62"/>
        <v>0</v>
      </c>
      <c r="I1747" s="376"/>
    </row>
    <row r="1748" spans="1:9" x14ac:dyDescent="0.25">
      <c r="A1748" s="373">
        <v>158</v>
      </c>
      <c r="B1748" s="374">
        <f>Bil!C281</f>
        <v>268</v>
      </c>
      <c r="C1748" s="374">
        <f>Bil!D281</f>
        <v>0</v>
      </c>
      <c r="D1748" s="374">
        <f>Bil!E281</f>
        <v>0</v>
      </c>
      <c r="E1748" s="374"/>
      <c r="F1748" s="374"/>
      <c r="G1748" s="375">
        <f t="shared" si="61"/>
        <v>0</v>
      </c>
      <c r="H1748" s="375">
        <f t="shared" si="62"/>
        <v>0</v>
      </c>
      <c r="I1748" s="376"/>
    </row>
    <row r="1749" spans="1:9" x14ac:dyDescent="0.25">
      <c r="A1749" s="373">
        <v>158</v>
      </c>
      <c r="B1749" s="374">
        <f>Bil!C282</f>
        <v>269</v>
      </c>
      <c r="C1749" s="374">
        <f>Bil!D282</f>
        <v>0</v>
      </c>
      <c r="D1749" s="374">
        <f>Bil!E282</f>
        <v>0</v>
      </c>
      <c r="E1749" s="374"/>
      <c r="F1749" s="374"/>
      <c r="G1749" s="375">
        <f t="shared" si="61"/>
        <v>0</v>
      </c>
      <c r="H1749" s="375">
        <f t="shared" si="62"/>
        <v>0</v>
      </c>
      <c r="I1749" s="376"/>
    </row>
    <row r="1750" spans="1:9" x14ac:dyDescent="0.25">
      <c r="A1750" s="373">
        <v>158</v>
      </c>
      <c r="B1750" s="374">
        <f>Bil!C283</f>
        <v>270</v>
      </c>
      <c r="C1750" s="374">
        <f>Bil!D283</f>
        <v>0</v>
      </c>
      <c r="D1750" s="374">
        <f>Bil!E283</f>
        <v>0</v>
      </c>
      <c r="E1750" s="374"/>
      <c r="F1750" s="374"/>
      <c r="G1750" s="375">
        <f t="shared" si="61"/>
        <v>0</v>
      </c>
      <c r="H1750" s="375">
        <f t="shared" si="62"/>
        <v>0</v>
      </c>
      <c r="I1750" s="376"/>
    </row>
    <row r="1751" spans="1:9" x14ac:dyDescent="0.25">
      <c r="A1751" s="373">
        <v>158</v>
      </c>
      <c r="B1751" s="374">
        <f>Bil!C285</f>
        <v>271</v>
      </c>
      <c r="C1751" s="374">
        <f>Bil!D285</f>
        <v>0</v>
      </c>
      <c r="D1751" s="374">
        <f>Bil!E285</f>
        <v>0</v>
      </c>
      <c r="E1751" s="374"/>
      <c r="F1751" s="374"/>
      <c r="G1751" s="375">
        <f t="shared" si="61"/>
        <v>0</v>
      </c>
      <c r="H1751" s="375">
        <f t="shared" si="62"/>
        <v>0</v>
      </c>
      <c r="I1751" s="376"/>
    </row>
    <row r="1752" spans="1:9" x14ac:dyDescent="0.25">
      <c r="A1752" s="373">
        <v>158</v>
      </c>
      <c r="B1752" s="374">
        <f>Bil!C286</f>
        <v>272</v>
      </c>
      <c r="C1752" s="374">
        <f>Bil!D286</f>
        <v>0</v>
      </c>
      <c r="D1752" s="374">
        <f>Bil!E286</f>
        <v>0</v>
      </c>
      <c r="E1752" s="374"/>
      <c r="F1752" s="374"/>
      <c r="G1752" s="375">
        <f t="shared" si="61"/>
        <v>0</v>
      </c>
      <c r="H1752" s="375">
        <f t="shared" si="62"/>
        <v>0</v>
      </c>
      <c r="I1752" s="376"/>
    </row>
    <row r="1753" spans="1:9" x14ac:dyDescent="0.25">
      <c r="A1753" s="373">
        <v>158</v>
      </c>
      <c r="B1753" s="374">
        <f>Bil!C287</f>
        <v>273</v>
      </c>
      <c r="C1753" s="374">
        <f>Bil!D287</f>
        <v>0</v>
      </c>
      <c r="D1753" s="374">
        <f>Bil!E287</f>
        <v>0</v>
      </c>
      <c r="E1753" s="374"/>
      <c r="F1753" s="374"/>
      <c r="G1753" s="375">
        <f t="shared" si="61"/>
        <v>0</v>
      </c>
      <c r="H1753" s="375">
        <f t="shared" si="62"/>
        <v>0</v>
      </c>
      <c r="I1753" s="376"/>
    </row>
    <row r="1754" spans="1:9" x14ac:dyDescent="0.25">
      <c r="A1754" s="373">
        <v>158</v>
      </c>
      <c r="B1754" s="374">
        <f>Bil!C288</f>
        <v>274</v>
      </c>
      <c r="C1754" s="374">
        <f>Bil!D288</f>
        <v>0</v>
      </c>
      <c r="D1754" s="374">
        <f>Bil!E288</f>
        <v>0</v>
      </c>
      <c r="E1754" s="374"/>
      <c r="F1754" s="374"/>
      <c r="G1754" s="375">
        <f t="shared" si="61"/>
        <v>0</v>
      </c>
      <c r="H1754" s="375">
        <f t="shared" si="62"/>
        <v>0</v>
      </c>
      <c r="I1754" s="376"/>
    </row>
    <row r="1755" spans="1:9" x14ac:dyDescent="0.25">
      <c r="A1755" s="391">
        <v>158</v>
      </c>
      <c r="B1755" s="392">
        <f>Bil!C289</f>
        <v>275</v>
      </c>
      <c r="C1755" s="392">
        <f>Bil!D289</f>
        <v>0</v>
      </c>
      <c r="D1755" s="392">
        <f>Bil!E289</f>
        <v>0</v>
      </c>
      <c r="E1755" s="392"/>
      <c r="F1755" s="392"/>
      <c r="G1755" s="393">
        <f t="shared" si="61"/>
        <v>0</v>
      </c>
      <c r="H1755" s="393">
        <f t="shared" si="62"/>
        <v>0</v>
      </c>
      <c r="I1755" s="394"/>
    </row>
    <row r="1756" spans="1:9" x14ac:dyDescent="0.25">
      <c r="A1756" s="397">
        <f>IF(RefStr!K12-RefStr!K10 &lt; 32,160,159)</f>
        <v>159</v>
      </c>
      <c r="B1756" s="395">
        <f>Obv!C12</f>
        <v>1</v>
      </c>
      <c r="C1756" s="395">
        <f>Obv!D12</f>
        <v>153148</v>
      </c>
      <c r="D1756" s="395"/>
      <c r="E1756" s="395"/>
      <c r="F1756" s="395"/>
      <c r="G1756" s="385">
        <f>B1756/1000*C1756</f>
        <v>153.148</v>
      </c>
      <c r="H1756" s="385">
        <f>ABS(C1756-ROUND(C1756,0))</f>
        <v>0</v>
      </c>
      <c r="I1756" s="386"/>
    </row>
    <row r="1757" spans="1:9" x14ac:dyDescent="0.25">
      <c r="A1757" s="398">
        <f>A$1756</f>
        <v>159</v>
      </c>
      <c r="B1757" s="381">
        <f>Obv!C13</f>
        <v>2</v>
      </c>
      <c r="C1757" s="381">
        <f>Obv!D13</f>
        <v>1163189</v>
      </c>
      <c r="D1757" s="381"/>
      <c r="E1757" s="381"/>
      <c r="F1757" s="381"/>
      <c r="G1757" s="375">
        <f>B1757/1000*C1757</f>
        <v>2326.3780000000002</v>
      </c>
      <c r="H1757" s="375">
        <f>ABS(C1757-ROUND(C1757,0))</f>
        <v>0</v>
      </c>
      <c r="I1757" s="376"/>
    </row>
    <row r="1758" spans="1:9" x14ac:dyDescent="0.25">
      <c r="A1758" s="398">
        <f>A$1756</f>
        <v>159</v>
      </c>
      <c r="B1758" s="381">
        <f>Obv!C14</f>
        <v>3</v>
      </c>
      <c r="C1758" s="381">
        <f>Obv!D14</f>
        <v>0</v>
      </c>
      <c r="D1758" s="381"/>
      <c r="E1758" s="381"/>
      <c r="F1758" s="381"/>
      <c r="G1758" s="375">
        <f>B1758/1000*C1758</f>
        <v>0</v>
      </c>
      <c r="H1758" s="375">
        <f>ABS(C1758-ROUND(C1758,0))</f>
        <v>0</v>
      </c>
      <c r="I1758" s="376"/>
    </row>
    <row r="1759" spans="1:9" x14ac:dyDescent="0.25">
      <c r="A1759" s="398">
        <f>A$1756</f>
        <v>159</v>
      </c>
      <c r="B1759" s="381">
        <f>Obv!C15</f>
        <v>4</v>
      </c>
      <c r="C1759" s="381">
        <f>Obv!D15</f>
        <v>1112526</v>
      </c>
      <c r="D1759" s="381"/>
      <c r="E1759" s="381"/>
      <c r="F1759" s="381"/>
      <c r="G1759" s="375">
        <f>B1759/1000*C1759</f>
        <v>4450.1040000000003</v>
      </c>
      <c r="H1759" s="375">
        <f>ABS(C1759-ROUND(C1759,0))</f>
        <v>0</v>
      </c>
      <c r="I1759" s="376"/>
    </row>
    <row r="1760" spans="1:9" x14ac:dyDescent="0.25">
      <c r="A1760" s="398">
        <f t="shared" ref="A1760:A1823" si="63">A$1756</f>
        <v>159</v>
      </c>
      <c r="B1760" s="381">
        <f>Obv!C16</f>
        <v>5</v>
      </c>
      <c r="C1760" s="381">
        <f>Obv!D16</f>
        <v>110475</v>
      </c>
      <c r="D1760" s="381"/>
      <c r="E1760" s="381"/>
      <c r="F1760" s="381"/>
      <c r="G1760" s="375">
        <f t="shared" ref="G1760:G1823" si="64">B1760/1000*C1760</f>
        <v>552.375</v>
      </c>
      <c r="H1760" s="375">
        <f t="shared" ref="H1760:H1823" si="65">ABS(C1760-ROUND(C1760,0))</f>
        <v>0</v>
      </c>
      <c r="I1760" s="376"/>
    </row>
    <row r="1761" spans="1:9" x14ac:dyDescent="0.25">
      <c r="A1761" s="398">
        <f t="shared" si="63"/>
        <v>159</v>
      </c>
      <c r="B1761" s="381">
        <f>Obv!C17</f>
        <v>6</v>
      </c>
      <c r="C1761" s="381">
        <f>Obv!D17</f>
        <v>251762</v>
      </c>
      <c r="D1761" s="381"/>
      <c r="E1761" s="381"/>
      <c r="F1761" s="381"/>
      <c r="G1761" s="375">
        <f t="shared" si="64"/>
        <v>1510.5720000000001</v>
      </c>
      <c r="H1761" s="375">
        <f t="shared" si="65"/>
        <v>0</v>
      </c>
      <c r="I1761" s="376"/>
    </row>
    <row r="1762" spans="1:9" x14ac:dyDescent="0.25">
      <c r="A1762" s="398">
        <f t="shared" si="63"/>
        <v>159</v>
      </c>
      <c r="B1762" s="381">
        <f>Obv!C18</f>
        <v>7</v>
      </c>
      <c r="C1762" s="381">
        <f>Obv!D18</f>
        <v>3406</v>
      </c>
      <c r="D1762" s="381"/>
      <c r="E1762" s="381"/>
      <c r="F1762" s="381"/>
      <c r="G1762" s="375">
        <f t="shared" si="64"/>
        <v>23.841999999999999</v>
      </c>
      <c r="H1762" s="375">
        <f t="shared" si="65"/>
        <v>0</v>
      </c>
      <c r="I1762" s="376"/>
    </row>
    <row r="1763" spans="1:9" x14ac:dyDescent="0.25">
      <c r="A1763" s="398">
        <f t="shared" si="63"/>
        <v>159</v>
      </c>
      <c r="B1763" s="381">
        <f>Obv!C19</f>
        <v>8</v>
      </c>
      <c r="C1763" s="381">
        <f>Obv!D19</f>
        <v>48749</v>
      </c>
      <c r="D1763" s="381"/>
      <c r="E1763" s="381"/>
      <c r="F1763" s="381"/>
      <c r="G1763" s="375">
        <f t="shared" si="64"/>
        <v>389.99200000000002</v>
      </c>
      <c r="H1763" s="375">
        <f t="shared" si="65"/>
        <v>0</v>
      </c>
      <c r="I1763" s="376"/>
    </row>
    <row r="1764" spans="1:9" x14ac:dyDescent="0.25">
      <c r="A1764" s="398">
        <f t="shared" si="63"/>
        <v>159</v>
      </c>
      <c r="B1764" s="381">
        <f>Obv!C20</f>
        <v>9</v>
      </c>
      <c r="C1764" s="381">
        <f>Obv!D20</f>
        <v>0</v>
      </c>
      <c r="D1764" s="381"/>
      <c r="E1764" s="381"/>
      <c r="F1764" s="381"/>
      <c r="G1764" s="375">
        <f t="shared" si="64"/>
        <v>0</v>
      </c>
      <c r="H1764" s="375">
        <f t="shared" si="65"/>
        <v>0</v>
      </c>
      <c r="I1764" s="376"/>
    </row>
    <row r="1765" spans="1:9" x14ac:dyDescent="0.25">
      <c r="A1765" s="398">
        <f t="shared" si="63"/>
        <v>159</v>
      </c>
      <c r="B1765" s="381">
        <f>Obv!C21</f>
        <v>10</v>
      </c>
      <c r="C1765" s="381">
        <f>Obv!D21</f>
        <v>185419</v>
      </c>
      <c r="D1765" s="381"/>
      <c r="E1765" s="381"/>
      <c r="F1765" s="381"/>
      <c r="G1765" s="375">
        <f t="shared" si="64"/>
        <v>1854.19</v>
      </c>
      <c r="H1765" s="375">
        <f t="shared" si="65"/>
        <v>0</v>
      </c>
      <c r="I1765" s="376"/>
    </row>
    <row r="1766" spans="1:9" x14ac:dyDescent="0.25">
      <c r="A1766" s="398">
        <f t="shared" si="63"/>
        <v>159</v>
      </c>
      <c r="B1766" s="381">
        <f>Obv!C22</f>
        <v>11</v>
      </c>
      <c r="C1766" s="381">
        <f>Obv!D22</f>
        <v>512715</v>
      </c>
      <c r="D1766" s="381"/>
      <c r="E1766" s="381"/>
      <c r="F1766" s="381"/>
      <c r="G1766" s="375">
        <f t="shared" si="64"/>
        <v>5639.8649999999998</v>
      </c>
      <c r="H1766" s="375">
        <f t="shared" si="65"/>
        <v>0</v>
      </c>
      <c r="I1766" s="376"/>
    </row>
    <row r="1767" spans="1:9" x14ac:dyDescent="0.25">
      <c r="A1767" s="398">
        <f t="shared" si="63"/>
        <v>159</v>
      </c>
      <c r="B1767" s="381">
        <f>Obv!C23</f>
        <v>12</v>
      </c>
      <c r="C1767" s="381">
        <f>Obv!D23</f>
        <v>50663</v>
      </c>
      <c r="D1767" s="381"/>
      <c r="E1767" s="381"/>
      <c r="F1767" s="381"/>
      <c r="G1767" s="375">
        <f t="shared" si="64"/>
        <v>607.95600000000002</v>
      </c>
      <c r="H1767" s="375">
        <f t="shared" si="65"/>
        <v>0</v>
      </c>
      <c r="I1767" s="376"/>
    </row>
    <row r="1768" spans="1:9" x14ac:dyDescent="0.25">
      <c r="A1768" s="398">
        <f t="shared" si="63"/>
        <v>159</v>
      </c>
      <c r="B1768" s="381">
        <f>Obv!C24</f>
        <v>13</v>
      </c>
      <c r="C1768" s="381">
        <f>Obv!D24</f>
        <v>0</v>
      </c>
      <c r="D1768" s="381"/>
      <c r="E1768" s="381"/>
      <c r="F1768" s="381"/>
      <c r="G1768" s="375">
        <f t="shared" si="64"/>
        <v>0</v>
      </c>
      <c r="H1768" s="375">
        <f t="shared" si="65"/>
        <v>0</v>
      </c>
      <c r="I1768" s="376"/>
    </row>
    <row r="1769" spans="1:9" x14ac:dyDescent="0.25">
      <c r="A1769" s="398">
        <f t="shared" si="63"/>
        <v>159</v>
      </c>
      <c r="B1769" s="381">
        <f>Obv!C25</f>
        <v>14</v>
      </c>
      <c r="C1769" s="381">
        <f>Obv!D25</f>
        <v>0</v>
      </c>
      <c r="D1769" s="381"/>
      <c r="E1769" s="381"/>
      <c r="F1769" s="381"/>
      <c r="G1769" s="375">
        <f t="shared" si="64"/>
        <v>0</v>
      </c>
      <c r="H1769" s="375">
        <f t="shared" si="65"/>
        <v>0</v>
      </c>
      <c r="I1769" s="376"/>
    </row>
    <row r="1770" spans="1:9" x14ac:dyDescent="0.25">
      <c r="A1770" s="398">
        <f t="shared" si="63"/>
        <v>159</v>
      </c>
      <c r="B1770" s="381">
        <f>Obv!C26</f>
        <v>15</v>
      </c>
      <c r="C1770" s="381">
        <f>Obv!D26</f>
        <v>0</v>
      </c>
      <c r="D1770" s="381"/>
      <c r="E1770" s="381"/>
      <c r="F1770" s="381"/>
      <c r="G1770" s="375">
        <f t="shared" si="64"/>
        <v>0</v>
      </c>
      <c r="H1770" s="375">
        <f t="shared" si="65"/>
        <v>0</v>
      </c>
      <c r="I1770" s="376"/>
    </row>
    <row r="1771" spans="1:9" x14ac:dyDescent="0.25">
      <c r="A1771" s="398">
        <f t="shared" si="63"/>
        <v>159</v>
      </c>
      <c r="B1771" s="381">
        <f>Obv!C27</f>
        <v>16</v>
      </c>
      <c r="C1771" s="381">
        <f>Obv!D27</f>
        <v>0</v>
      </c>
      <c r="D1771" s="381"/>
      <c r="E1771" s="381"/>
      <c r="F1771" s="381"/>
      <c r="G1771" s="375">
        <f t="shared" si="64"/>
        <v>0</v>
      </c>
      <c r="H1771" s="375">
        <f t="shared" si="65"/>
        <v>0</v>
      </c>
      <c r="I1771" s="376"/>
    </row>
    <row r="1772" spans="1:9" x14ac:dyDescent="0.25">
      <c r="A1772" s="398">
        <f t="shared" si="63"/>
        <v>159</v>
      </c>
      <c r="B1772" s="381">
        <f>Obv!C28</f>
        <v>17</v>
      </c>
      <c r="C1772" s="381">
        <f>Obv!D28</f>
        <v>0</v>
      </c>
      <c r="D1772" s="381"/>
      <c r="E1772" s="381"/>
      <c r="F1772" s="381"/>
      <c r="G1772" s="375">
        <f t="shared" si="64"/>
        <v>0</v>
      </c>
      <c r="H1772" s="375">
        <f t="shared" si="65"/>
        <v>0</v>
      </c>
      <c r="I1772" s="376"/>
    </row>
    <row r="1773" spans="1:9" x14ac:dyDescent="0.25">
      <c r="A1773" s="398">
        <f t="shared" si="63"/>
        <v>159</v>
      </c>
      <c r="B1773" s="381">
        <f>Obv!C29</f>
        <v>18</v>
      </c>
      <c r="C1773" s="381">
        <f>Obv!D29</f>
        <v>0</v>
      </c>
      <c r="D1773" s="381"/>
      <c r="E1773" s="381"/>
      <c r="F1773" s="381"/>
      <c r="G1773" s="375">
        <f t="shared" si="64"/>
        <v>0</v>
      </c>
      <c r="H1773" s="375">
        <f t="shared" si="65"/>
        <v>0</v>
      </c>
      <c r="I1773" s="376"/>
    </row>
    <row r="1774" spans="1:9" x14ac:dyDescent="0.25">
      <c r="A1774" s="398">
        <f t="shared" si="63"/>
        <v>159</v>
      </c>
      <c r="B1774" s="381">
        <f>Obv!C30</f>
        <v>19</v>
      </c>
      <c r="C1774" s="381">
        <f>Obv!D30</f>
        <v>925266</v>
      </c>
      <c r="D1774" s="381"/>
      <c r="E1774" s="381"/>
      <c r="F1774" s="381"/>
      <c r="G1774" s="375">
        <f t="shared" si="64"/>
        <v>17580.054</v>
      </c>
      <c r="H1774" s="375">
        <f t="shared" si="65"/>
        <v>0</v>
      </c>
      <c r="I1774" s="376"/>
    </row>
    <row r="1775" spans="1:9" x14ac:dyDescent="0.25">
      <c r="A1775" s="398">
        <f t="shared" si="63"/>
        <v>159</v>
      </c>
      <c r="B1775" s="381">
        <f>Obv!C31</f>
        <v>20</v>
      </c>
      <c r="C1775" s="381">
        <f>Obv!D31</f>
        <v>0</v>
      </c>
      <c r="D1775" s="381"/>
      <c r="E1775" s="381"/>
      <c r="F1775" s="381"/>
      <c r="G1775" s="375">
        <f t="shared" si="64"/>
        <v>0</v>
      </c>
      <c r="H1775" s="375">
        <f t="shared" si="65"/>
        <v>0</v>
      </c>
      <c r="I1775" s="376"/>
    </row>
    <row r="1776" spans="1:9" x14ac:dyDescent="0.25">
      <c r="A1776" s="398">
        <f t="shared" si="63"/>
        <v>159</v>
      </c>
      <c r="B1776" s="381">
        <f>Obv!C32</f>
        <v>21</v>
      </c>
      <c r="C1776" s="381">
        <f>Obv!D32</f>
        <v>917266</v>
      </c>
      <c r="D1776" s="381"/>
      <c r="E1776" s="381"/>
      <c r="F1776" s="381"/>
      <c r="G1776" s="375">
        <f t="shared" si="64"/>
        <v>19262.586000000003</v>
      </c>
      <c r="H1776" s="375">
        <f t="shared" si="65"/>
        <v>0</v>
      </c>
      <c r="I1776" s="376"/>
    </row>
    <row r="1777" spans="1:9" x14ac:dyDescent="0.25">
      <c r="A1777" s="398">
        <f t="shared" si="63"/>
        <v>159</v>
      </c>
      <c r="B1777" s="381">
        <f>Obv!C33</f>
        <v>22</v>
      </c>
      <c r="C1777" s="381">
        <f>Obv!D33</f>
        <v>111242</v>
      </c>
      <c r="D1777" s="381"/>
      <c r="E1777" s="381"/>
      <c r="F1777" s="381"/>
      <c r="G1777" s="375">
        <f t="shared" si="64"/>
        <v>2447.3240000000001</v>
      </c>
      <c r="H1777" s="375">
        <f t="shared" si="65"/>
        <v>0</v>
      </c>
      <c r="I1777" s="376"/>
    </row>
    <row r="1778" spans="1:9" x14ac:dyDescent="0.25">
      <c r="A1778" s="398">
        <f t="shared" si="63"/>
        <v>159</v>
      </c>
      <c r="B1778" s="381">
        <f>Obv!C34</f>
        <v>23</v>
      </c>
      <c r="C1778" s="381">
        <f>Obv!D34</f>
        <v>244608</v>
      </c>
      <c r="D1778" s="381"/>
      <c r="E1778" s="381"/>
      <c r="F1778" s="381"/>
      <c r="G1778" s="375">
        <f t="shared" si="64"/>
        <v>5625.9839999999995</v>
      </c>
      <c r="H1778" s="375">
        <f t="shared" si="65"/>
        <v>0</v>
      </c>
      <c r="I1778" s="376"/>
    </row>
    <row r="1779" spans="1:9" x14ac:dyDescent="0.25">
      <c r="A1779" s="398">
        <f t="shared" si="63"/>
        <v>159</v>
      </c>
      <c r="B1779" s="381">
        <f>Obv!C35</f>
        <v>24</v>
      </c>
      <c r="C1779" s="381">
        <f>Obv!D35</f>
        <v>3789</v>
      </c>
      <c r="D1779" s="381"/>
      <c r="E1779" s="381"/>
      <c r="F1779" s="381"/>
      <c r="G1779" s="375">
        <f t="shared" si="64"/>
        <v>90.936000000000007</v>
      </c>
      <c r="H1779" s="375">
        <f t="shared" si="65"/>
        <v>0</v>
      </c>
      <c r="I1779" s="376"/>
    </row>
    <row r="1780" spans="1:9" x14ac:dyDescent="0.25">
      <c r="A1780" s="398">
        <f t="shared" si="63"/>
        <v>159</v>
      </c>
      <c r="B1780" s="381">
        <f>Obv!C36</f>
        <v>25</v>
      </c>
      <c r="C1780" s="381">
        <f>Obv!D36</f>
        <v>49276</v>
      </c>
      <c r="D1780" s="381"/>
      <c r="E1780" s="381"/>
      <c r="F1780" s="381"/>
      <c r="G1780" s="375">
        <f t="shared" si="64"/>
        <v>1231.9000000000001</v>
      </c>
      <c r="H1780" s="375">
        <f t="shared" si="65"/>
        <v>0</v>
      </c>
      <c r="I1780" s="376"/>
    </row>
    <row r="1781" spans="1:9" x14ac:dyDescent="0.25">
      <c r="A1781" s="398">
        <f t="shared" si="63"/>
        <v>159</v>
      </c>
      <c r="B1781" s="381">
        <f>Obv!C37</f>
        <v>26</v>
      </c>
      <c r="C1781" s="381">
        <f>Obv!D37</f>
        <v>0</v>
      </c>
      <c r="D1781" s="381"/>
      <c r="E1781" s="381"/>
      <c r="F1781" s="381"/>
      <c r="G1781" s="375">
        <f t="shared" si="64"/>
        <v>0</v>
      </c>
      <c r="H1781" s="375">
        <f t="shared" si="65"/>
        <v>0</v>
      </c>
      <c r="I1781" s="376"/>
    </row>
    <row r="1782" spans="1:9" x14ac:dyDescent="0.25">
      <c r="A1782" s="398">
        <f t="shared" si="63"/>
        <v>159</v>
      </c>
      <c r="B1782" s="381">
        <f>Obv!C38</f>
        <v>27</v>
      </c>
      <c r="C1782" s="381">
        <f>Obv!D38</f>
        <v>134419</v>
      </c>
      <c r="D1782" s="381"/>
      <c r="E1782" s="381"/>
      <c r="F1782" s="381"/>
      <c r="G1782" s="375">
        <f t="shared" si="64"/>
        <v>3629.3130000000001</v>
      </c>
      <c r="H1782" s="375">
        <f t="shared" si="65"/>
        <v>0</v>
      </c>
      <c r="I1782" s="376"/>
    </row>
    <row r="1783" spans="1:9" x14ac:dyDescent="0.25">
      <c r="A1783" s="398">
        <f t="shared" si="63"/>
        <v>159</v>
      </c>
      <c r="B1783" s="381">
        <f>Obv!C39</f>
        <v>28</v>
      </c>
      <c r="C1783" s="381">
        <f>Obv!D39</f>
        <v>373932</v>
      </c>
      <c r="D1783" s="381"/>
      <c r="E1783" s="381"/>
      <c r="F1783" s="381"/>
      <c r="G1783" s="375">
        <f t="shared" si="64"/>
        <v>10470.096</v>
      </c>
      <c r="H1783" s="375">
        <f t="shared" si="65"/>
        <v>0</v>
      </c>
      <c r="I1783" s="376"/>
    </row>
    <row r="1784" spans="1:9" x14ac:dyDescent="0.25">
      <c r="A1784" s="398">
        <f t="shared" si="63"/>
        <v>159</v>
      </c>
      <c r="B1784" s="381">
        <f>Obv!C40</f>
        <v>29</v>
      </c>
      <c r="C1784" s="381">
        <f>Obv!D40</f>
        <v>8000</v>
      </c>
      <c r="D1784" s="381"/>
      <c r="E1784" s="381"/>
      <c r="F1784" s="381"/>
      <c r="G1784" s="375">
        <f t="shared" si="64"/>
        <v>232</v>
      </c>
      <c r="H1784" s="375">
        <f t="shared" si="65"/>
        <v>0</v>
      </c>
      <c r="I1784" s="376"/>
    </row>
    <row r="1785" spans="1:9" x14ac:dyDescent="0.25">
      <c r="A1785" s="398">
        <f t="shared" si="63"/>
        <v>159</v>
      </c>
      <c r="B1785" s="381">
        <f>Obv!C41</f>
        <v>30</v>
      </c>
      <c r="C1785" s="381">
        <f>Obv!D41</f>
        <v>0</v>
      </c>
      <c r="D1785" s="381"/>
      <c r="E1785" s="381"/>
      <c r="F1785" s="381"/>
      <c r="G1785" s="375">
        <f t="shared" si="64"/>
        <v>0</v>
      </c>
      <c r="H1785" s="375">
        <f t="shared" si="65"/>
        <v>0</v>
      </c>
      <c r="I1785" s="376"/>
    </row>
    <row r="1786" spans="1:9" x14ac:dyDescent="0.25">
      <c r="A1786" s="398">
        <f t="shared" si="63"/>
        <v>159</v>
      </c>
      <c r="B1786" s="381">
        <f>Obv!C42</f>
        <v>31</v>
      </c>
      <c r="C1786" s="381">
        <f>Obv!D42</f>
        <v>0</v>
      </c>
      <c r="D1786" s="381"/>
      <c r="E1786" s="381"/>
      <c r="F1786" s="381"/>
      <c r="G1786" s="375">
        <f t="shared" si="64"/>
        <v>0</v>
      </c>
      <c r="H1786" s="375">
        <f t="shared" si="65"/>
        <v>0</v>
      </c>
      <c r="I1786" s="376"/>
    </row>
    <row r="1787" spans="1:9" x14ac:dyDescent="0.25">
      <c r="A1787" s="398">
        <f t="shared" si="63"/>
        <v>159</v>
      </c>
      <c r="B1787" s="381">
        <f>Obv!C43</f>
        <v>32</v>
      </c>
      <c r="C1787" s="381">
        <f>Obv!D43</f>
        <v>0</v>
      </c>
      <c r="D1787" s="381"/>
      <c r="E1787" s="381"/>
      <c r="F1787" s="381"/>
      <c r="G1787" s="375">
        <f t="shared" si="64"/>
        <v>0</v>
      </c>
      <c r="H1787" s="375">
        <f t="shared" si="65"/>
        <v>0</v>
      </c>
      <c r="I1787" s="376"/>
    </row>
    <row r="1788" spans="1:9" x14ac:dyDescent="0.25">
      <c r="A1788" s="398">
        <f t="shared" si="63"/>
        <v>159</v>
      </c>
      <c r="B1788" s="381">
        <f>Obv!C44</f>
        <v>33</v>
      </c>
      <c r="C1788" s="381">
        <f>Obv!D44</f>
        <v>0</v>
      </c>
      <c r="D1788" s="381"/>
      <c r="E1788" s="381"/>
      <c r="F1788" s="381"/>
      <c r="G1788" s="375">
        <f t="shared" si="64"/>
        <v>0</v>
      </c>
      <c r="H1788" s="375">
        <f t="shared" si="65"/>
        <v>0</v>
      </c>
      <c r="I1788" s="376"/>
    </row>
    <row r="1789" spans="1:9" x14ac:dyDescent="0.25">
      <c r="A1789" s="398">
        <f t="shared" si="63"/>
        <v>159</v>
      </c>
      <c r="B1789" s="381">
        <f>Obv!C45</f>
        <v>34</v>
      </c>
      <c r="C1789" s="381">
        <f>Obv!D45</f>
        <v>0</v>
      </c>
      <c r="D1789" s="381"/>
      <c r="E1789" s="381"/>
      <c r="F1789" s="381"/>
      <c r="G1789" s="375">
        <f t="shared" si="64"/>
        <v>0</v>
      </c>
      <c r="H1789" s="375">
        <f t="shared" si="65"/>
        <v>0</v>
      </c>
      <c r="I1789" s="376"/>
    </row>
    <row r="1790" spans="1:9" x14ac:dyDescent="0.25">
      <c r="A1790" s="398">
        <f t="shared" si="63"/>
        <v>159</v>
      </c>
      <c r="B1790" s="381">
        <f>Obv!C46</f>
        <v>35</v>
      </c>
      <c r="C1790" s="381">
        <f>Obv!D46</f>
        <v>0</v>
      </c>
      <c r="D1790" s="381"/>
      <c r="E1790" s="381"/>
      <c r="F1790" s="381"/>
      <c r="G1790" s="375">
        <f t="shared" si="64"/>
        <v>0</v>
      </c>
      <c r="H1790" s="375">
        <f t="shared" si="65"/>
        <v>0</v>
      </c>
      <c r="I1790" s="376"/>
    </row>
    <row r="1791" spans="1:9" x14ac:dyDescent="0.25">
      <c r="A1791" s="398">
        <f t="shared" si="63"/>
        <v>159</v>
      </c>
      <c r="B1791" s="381">
        <f>Obv!C47</f>
        <v>36</v>
      </c>
      <c r="C1791" s="381">
        <f>Obv!D47</f>
        <v>391071</v>
      </c>
      <c r="D1791" s="381"/>
      <c r="E1791" s="381"/>
      <c r="F1791" s="381"/>
      <c r="G1791" s="375">
        <f t="shared" si="64"/>
        <v>14078.555999999999</v>
      </c>
      <c r="H1791" s="375">
        <f t="shared" si="65"/>
        <v>0</v>
      </c>
      <c r="I1791" s="376"/>
    </row>
    <row r="1792" spans="1:9" x14ac:dyDescent="0.25">
      <c r="A1792" s="398">
        <f t="shared" si="63"/>
        <v>159</v>
      </c>
      <c r="B1792" s="381">
        <f>Obv!C48</f>
        <v>37</v>
      </c>
      <c r="C1792" s="381">
        <f>Obv!D48</f>
        <v>192950</v>
      </c>
      <c r="D1792" s="381"/>
      <c r="E1792" s="381"/>
      <c r="F1792" s="381"/>
      <c r="G1792" s="375">
        <f t="shared" si="64"/>
        <v>7139.15</v>
      </c>
      <c r="H1792" s="375">
        <f t="shared" si="65"/>
        <v>0</v>
      </c>
      <c r="I1792" s="376"/>
    </row>
    <row r="1793" spans="1:9" x14ac:dyDescent="0.25">
      <c r="A1793" s="398">
        <f t="shared" si="63"/>
        <v>159</v>
      </c>
      <c r="B1793" s="381">
        <f>Obv!C49</f>
        <v>38</v>
      </c>
      <c r="C1793" s="381">
        <f>Obv!D49</f>
        <v>0</v>
      </c>
      <c r="D1793" s="381"/>
      <c r="E1793" s="381"/>
      <c r="F1793" s="381"/>
      <c r="G1793" s="375">
        <f t="shared" si="64"/>
        <v>0</v>
      </c>
      <c r="H1793" s="375">
        <f t="shared" si="65"/>
        <v>0</v>
      </c>
      <c r="I1793" s="376"/>
    </row>
    <row r="1794" spans="1:9" x14ac:dyDescent="0.25">
      <c r="A1794" s="398">
        <f t="shared" si="63"/>
        <v>159</v>
      </c>
      <c r="B1794" s="381">
        <f>Obv!C50</f>
        <v>39</v>
      </c>
      <c r="C1794" s="381">
        <f>Obv!D50</f>
        <v>0</v>
      </c>
      <c r="D1794" s="381"/>
      <c r="E1794" s="381"/>
      <c r="F1794" s="381"/>
      <c r="G1794" s="375">
        <f t="shared" si="64"/>
        <v>0</v>
      </c>
      <c r="H1794" s="375">
        <f t="shared" si="65"/>
        <v>0</v>
      </c>
      <c r="I1794" s="376"/>
    </row>
    <row r="1795" spans="1:9" x14ac:dyDescent="0.25">
      <c r="A1795" s="398">
        <f t="shared" si="63"/>
        <v>159</v>
      </c>
      <c r="B1795" s="381">
        <f>Obv!C51</f>
        <v>40</v>
      </c>
      <c r="C1795" s="381">
        <f>Obv!D51</f>
        <v>0</v>
      </c>
      <c r="D1795" s="381"/>
      <c r="E1795" s="381"/>
      <c r="F1795" s="381"/>
      <c r="G1795" s="375">
        <f t="shared" si="64"/>
        <v>0</v>
      </c>
      <c r="H1795" s="375">
        <f t="shared" si="65"/>
        <v>0</v>
      </c>
      <c r="I1795" s="376"/>
    </row>
    <row r="1796" spans="1:9" x14ac:dyDescent="0.25">
      <c r="A1796" s="398">
        <f t="shared" si="63"/>
        <v>159</v>
      </c>
      <c r="B1796" s="381">
        <f>Obv!C52</f>
        <v>41</v>
      </c>
      <c r="C1796" s="381">
        <f>Obv!D52</f>
        <v>0</v>
      </c>
      <c r="D1796" s="381"/>
      <c r="E1796" s="381"/>
      <c r="F1796" s="381"/>
      <c r="G1796" s="375">
        <f t="shared" si="64"/>
        <v>0</v>
      </c>
      <c r="H1796" s="375">
        <f t="shared" si="65"/>
        <v>0</v>
      </c>
      <c r="I1796" s="376"/>
    </row>
    <row r="1797" spans="1:9" x14ac:dyDescent="0.25">
      <c r="A1797" s="398">
        <f t="shared" si="63"/>
        <v>159</v>
      </c>
      <c r="B1797" s="381">
        <f>Obv!C53</f>
        <v>42</v>
      </c>
      <c r="C1797" s="381">
        <f>Obv!D53</f>
        <v>0</v>
      </c>
      <c r="D1797" s="381"/>
      <c r="E1797" s="381"/>
      <c r="F1797" s="381"/>
      <c r="G1797" s="375">
        <f t="shared" si="64"/>
        <v>0</v>
      </c>
      <c r="H1797" s="375">
        <f t="shared" si="65"/>
        <v>0</v>
      </c>
      <c r="I1797" s="376"/>
    </row>
    <row r="1798" spans="1:9" x14ac:dyDescent="0.25">
      <c r="A1798" s="398">
        <f t="shared" si="63"/>
        <v>159</v>
      </c>
      <c r="B1798" s="381">
        <f>Obv!C54</f>
        <v>43</v>
      </c>
      <c r="C1798" s="381">
        <f>Obv!D54</f>
        <v>191760</v>
      </c>
      <c r="D1798" s="381"/>
      <c r="E1798" s="381"/>
      <c r="F1798" s="381"/>
      <c r="G1798" s="375">
        <f t="shared" si="64"/>
        <v>8245.6799999999985</v>
      </c>
      <c r="H1798" s="375">
        <f t="shared" si="65"/>
        <v>0</v>
      </c>
      <c r="I1798" s="376"/>
    </row>
    <row r="1799" spans="1:9" x14ac:dyDescent="0.25">
      <c r="A1799" s="398">
        <f t="shared" si="63"/>
        <v>159</v>
      </c>
      <c r="B1799" s="381">
        <f>Obv!C55</f>
        <v>44</v>
      </c>
      <c r="C1799" s="381">
        <f>Obv!D55</f>
        <v>0</v>
      </c>
      <c r="D1799" s="381"/>
      <c r="E1799" s="381"/>
      <c r="F1799" s="381"/>
      <c r="G1799" s="375">
        <f t="shared" si="64"/>
        <v>0</v>
      </c>
      <c r="H1799" s="375">
        <f t="shared" si="65"/>
        <v>0</v>
      </c>
      <c r="I1799" s="376"/>
    </row>
    <row r="1800" spans="1:9" x14ac:dyDescent="0.25">
      <c r="A1800" s="398">
        <f t="shared" si="63"/>
        <v>159</v>
      </c>
      <c r="B1800" s="381">
        <f>Obv!C56</f>
        <v>45</v>
      </c>
      <c r="C1800" s="381">
        <f>Obv!D56</f>
        <v>0</v>
      </c>
      <c r="D1800" s="381"/>
      <c r="E1800" s="381"/>
      <c r="F1800" s="381"/>
      <c r="G1800" s="375">
        <f t="shared" si="64"/>
        <v>0</v>
      </c>
      <c r="H1800" s="375">
        <f t="shared" si="65"/>
        <v>0</v>
      </c>
      <c r="I1800" s="376"/>
    </row>
    <row r="1801" spans="1:9" x14ac:dyDescent="0.25">
      <c r="A1801" s="398">
        <f t="shared" si="63"/>
        <v>159</v>
      </c>
      <c r="B1801" s="381">
        <f>Obv!C57</f>
        <v>46</v>
      </c>
      <c r="C1801" s="381">
        <f>Obv!D57</f>
        <v>0</v>
      </c>
      <c r="D1801" s="381"/>
      <c r="E1801" s="381"/>
      <c r="F1801" s="381"/>
      <c r="G1801" s="375">
        <f t="shared" si="64"/>
        <v>0</v>
      </c>
      <c r="H1801" s="375">
        <f t="shared" si="65"/>
        <v>0</v>
      </c>
      <c r="I1801" s="376"/>
    </row>
    <row r="1802" spans="1:9" x14ac:dyDescent="0.25">
      <c r="A1802" s="398">
        <f t="shared" si="63"/>
        <v>159</v>
      </c>
      <c r="B1802" s="381">
        <f>Obv!C58</f>
        <v>47</v>
      </c>
      <c r="C1802" s="381">
        <f>Obv!D58</f>
        <v>0</v>
      </c>
      <c r="D1802" s="381"/>
      <c r="E1802" s="381"/>
      <c r="F1802" s="381"/>
      <c r="G1802" s="375">
        <f t="shared" si="64"/>
        <v>0</v>
      </c>
      <c r="H1802" s="375">
        <f t="shared" si="65"/>
        <v>0</v>
      </c>
      <c r="I1802" s="376"/>
    </row>
    <row r="1803" spans="1:9" x14ac:dyDescent="0.25">
      <c r="A1803" s="398">
        <f t="shared" si="63"/>
        <v>159</v>
      </c>
      <c r="B1803" s="381">
        <f>Obv!C59</f>
        <v>48</v>
      </c>
      <c r="C1803" s="381">
        <f>Obv!D59</f>
        <v>0</v>
      </c>
      <c r="D1803" s="381"/>
      <c r="E1803" s="381"/>
      <c r="F1803" s="381"/>
      <c r="G1803" s="375">
        <f t="shared" si="64"/>
        <v>0</v>
      </c>
      <c r="H1803" s="375">
        <f t="shared" si="65"/>
        <v>0</v>
      </c>
      <c r="I1803" s="376"/>
    </row>
    <row r="1804" spans="1:9" x14ac:dyDescent="0.25">
      <c r="A1804" s="398">
        <f t="shared" si="63"/>
        <v>159</v>
      </c>
      <c r="B1804" s="381">
        <f>Obv!C60</f>
        <v>49</v>
      </c>
      <c r="C1804" s="381">
        <f>Obv!D60</f>
        <v>7702</v>
      </c>
      <c r="D1804" s="381"/>
      <c r="E1804" s="381"/>
      <c r="F1804" s="381"/>
      <c r="G1804" s="375">
        <f t="shared" si="64"/>
        <v>377.39800000000002</v>
      </c>
      <c r="H1804" s="375">
        <f t="shared" si="65"/>
        <v>0</v>
      </c>
      <c r="I1804" s="376"/>
    </row>
    <row r="1805" spans="1:9" x14ac:dyDescent="0.25">
      <c r="A1805" s="398">
        <f t="shared" si="63"/>
        <v>159</v>
      </c>
      <c r="B1805" s="381">
        <f>Obv!C61</f>
        <v>50</v>
      </c>
      <c r="C1805" s="381">
        <f>Obv!D61</f>
        <v>7702</v>
      </c>
      <c r="D1805" s="381"/>
      <c r="E1805" s="381"/>
      <c r="F1805" s="381"/>
      <c r="G1805" s="375">
        <f t="shared" si="64"/>
        <v>385.1</v>
      </c>
      <c r="H1805" s="375">
        <f t="shared" si="65"/>
        <v>0</v>
      </c>
      <c r="I1805" s="376"/>
    </row>
    <row r="1806" spans="1:9" x14ac:dyDescent="0.25">
      <c r="A1806" s="398">
        <f t="shared" si="63"/>
        <v>159</v>
      </c>
      <c r="B1806" s="381">
        <f>Obv!C62</f>
        <v>51</v>
      </c>
      <c r="C1806" s="381">
        <f>Obv!D62</f>
        <v>0</v>
      </c>
      <c r="D1806" s="381"/>
      <c r="E1806" s="381"/>
      <c r="F1806" s="381"/>
      <c r="G1806" s="375">
        <f t="shared" si="64"/>
        <v>0</v>
      </c>
      <c r="H1806" s="375">
        <f t="shared" si="65"/>
        <v>0</v>
      </c>
      <c r="I1806" s="376"/>
    </row>
    <row r="1807" spans="1:9" x14ac:dyDescent="0.25">
      <c r="A1807" s="398">
        <f t="shared" si="63"/>
        <v>159</v>
      </c>
      <c r="B1807" s="381">
        <f>Obv!C63</f>
        <v>52</v>
      </c>
      <c r="C1807" s="381">
        <f>Obv!D63</f>
        <v>0</v>
      </c>
      <c r="D1807" s="381"/>
      <c r="E1807" s="381"/>
      <c r="F1807" s="381"/>
      <c r="G1807" s="375">
        <f t="shared" si="64"/>
        <v>0</v>
      </c>
      <c r="H1807" s="375">
        <f t="shared" si="65"/>
        <v>0</v>
      </c>
      <c r="I1807" s="376"/>
    </row>
    <row r="1808" spans="1:9" x14ac:dyDescent="0.25">
      <c r="A1808" s="398">
        <f t="shared" si="63"/>
        <v>159</v>
      </c>
      <c r="B1808" s="381">
        <f>Obv!C64</f>
        <v>53</v>
      </c>
      <c r="C1808" s="381">
        <f>Obv!D64</f>
        <v>0</v>
      </c>
      <c r="D1808" s="381"/>
      <c r="E1808" s="381"/>
      <c r="F1808" s="381"/>
      <c r="G1808" s="375">
        <f t="shared" si="64"/>
        <v>0</v>
      </c>
      <c r="H1808" s="375">
        <f t="shared" si="65"/>
        <v>0</v>
      </c>
      <c r="I1808" s="376"/>
    </row>
    <row r="1809" spans="1:9" x14ac:dyDescent="0.25">
      <c r="A1809" s="398">
        <f t="shared" si="63"/>
        <v>159</v>
      </c>
      <c r="B1809" s="381">
        <f>Obv!C65</f>
        <v>54</v>
      </c>
      <c r="C1809" s="381">
        <f>Obv!D65</f>
        <v>0</v>
      </c>
      <c r="D1809" s="381"/>
      <c r="E1809" s="381"/>
      <c r="F1809" s="381"/>
      <c r="G1809" s="375">
        <f t="shared" si="64"/>
        <v>0</v>
      </c>
      <c r="H1809" s="375">
        <f t="shared" si="65"/>
        <v>0</v>
      </c>
      <c r="I1809" s="376"/>
    </row>
    <row r="1810" spans="1:9" x14ac:dyDescent="0.25">
      <c r="A1810" s="398">
        <f t="shared" si="63"/>
        <v>159</v>
      </c>
      <c r="B1810" s="381">
        <f>Obv!C66</f>
        <v>55</v>
      </c>
      <c r="C1810" s="381">
        <f>Obv!D66</f>
        <v>0</v>
      </c>
      <c r="D1810" s="381"/>
      <c r="E1810" s="381"/>
      <c r="F1810" s="381"/>
      <c r="G1810" s="375">
        <f t="shared" si="64"/>
        <v>0</v>
      </c>
      <c r="H1810" s="375">
        <f t="shared" si="65"/>
        <v>0</v>
      </c>
      <c r="I1810" s="376"/>
    </row>
    <row r="1811" spans="1:9" x14ac:dyDescent="0.25">
      <c r="A1811" s="398">
        <f t="shared" si="63"/>
        <v>159</v>
      </c>
      <c r="B1811" s="381">
        <f>Obv!C67</f>
        <v>56</v>
      </c>
      <c r="C1811" s="381">
        <f>Obv!D67</f>
        <v>0</v>
      </c>
      <c r="D1811" s="381"/>
      <c r="E1811" s="381"/>
      <c r="F1811" s="381"/>
      <c r="G1811" s="375">
        <f t="shared" si="64"/>
        <v>0</v>
      </c>
      <c r="H1811" s="375">
        <f t="shared" si="65"/>
        <v>0</v>
      </c>
      <c r="I1811" s="376"/>
    </row>
    <row r="1812" spans="1:9" x14ac:dyDescent="0.25">
      <c r="A1812" s="398">
        <f t="shared" si="63"/>
        <v>159</v>
      </c>
      <c r="B1812" s="381">
        <f>Obv!C68</f>
        <v>57</v>
      </c>
      <c r="C1812" s="381">
        <f>Obv!D68</f>
        <v>0</v>
      </c>
      <c r="D1812" s="381"/>
      <c r="E1812" s="381"/>
      <c r="F1812" s="381"/>
      <c r="G1812" s="375">
        <f t="shared" si="64"/>
        <v>0</v>
      </c>
      <c r="H1812" s="375">
        <f t="shared" si="65"/>
        <v>0</v>
      </c>
      <c r="I1812" s="376"/>
    </row>
    <row r="1813" spans="1:9" x14ac:dyDescent="0.25">
      <c r="A1813" s="398">
        <f t="shared" si="63"/>
        <v>159</v>
      </c>
      <c r="B1813" s="381">
        <f>Obv!C69</f>
        <v>58</v>
      </c>
      <c r="C1813" s="381">
        <f>Obv!D69</f>
        <v>0</v>
      </c>
      <c r="D1813" s="381"/>
      <c r="E1813" s="381"/>
      <c r="F1813" s="381"/>
      <c r="G1813" s="375">
        <f t="shared" si="64"/>
        <v>0</v>
      </c>
      <c r="H1813" s="375">
        <f t="shared" si="65"/>
        <v>0</v>
      </c>
      <c r="I1813" s="376"/>
    </row>
    <row r="1814" spans="1:9" x14ac:dyDescent="0.25">
      <c r="A1814" s="398">
        <f t="shared" si="63"/>
        <v>159</v>
      </c>
      <c r="B1814" s="381">
        <f>Obv!C70</f>
        <v>59</v>
      </c>
      <c r="C1814" s="381">
        <f>Obv!D70</f>
        <v>15864</v>
      </c>
      <c r="D1814" s="381"/>
      <c r="E1814" s="381"/>
      <c r="F1814" s="381"/>
      <c r="G1814" s="375">
        <f t="shared" si="64"/>
        <v>935.976</v>
      </c>
      <c r="H1814" s="375">
        <f t="shared" si="65"/>
        <v>0</v>
      </c>
      <c r="I1814" s="376"/>
    </row>
    <row r="1815" spans="1:9" x14ac:dyDescent="0.25">
      <c r="A1815" s="398">
        <f t="shared" si="63"/>
        <v>159</v>
      </c>
      <c r="B1815" s="381">
        <f>Obv!C71</f>
        <v>60</v>
      </c>
      <c r="C1815" s="381">
        <f>Obv!D71</f>
        <v>15864</v>
      </c>
      <c r="D1815" s="381"/>
      <c r="E1815" s="381"/>
      <c r="F1815" s="381"/>
      <c r="G1815" s="375">
        <f t="shared" si="64"/>
        <v>951.83999999999992</v>
      </c>
      <c r="H1815" s="375">
        <f t="shared" si="65"/>
        <v>0</v>
      </c>
      <c r="I1815" s="376"/>
    </row>
    <row r="1816" spans="1:9" x14ac:dyDescent="0.25">
      <c r="A1816" s="398">
        <f t="shared" si="63"/>
        <v>159</v>
      </c>
      <c r="B1816" s="381">
        <f>Obv!C72</f>
        <v>61</v>
      </c>
      <c r="C1816" s="381">
        <f>Obv!D72</f>
        <v>0</v>
      </c>
      <c r="D1816" s="381"/>
      <c r="E1816" s="381"/>
      <c r="F1816" s="381"/>
      <c r="G1816" s="375">
        <f t="shared" si="64"/>
        <v>0</v>
      </c>
      <c r="H1816" s="375">
        <f t="shared" si="65"/>
        <v>0</v>
      </c>
      <c r="I1816" s="376"/>
    </row>
    <row r="1817" spans="1:9" x14ac:dyDescent="0.25">
      <c r="A1817" s="398">
        <f t="shared" si="63"/>
        <v>159</v>
      </c>
      <c r="B1817" s="381">
        <f>Obv!C73</f>
        <v>62</v>
      </c>
      <c r="C1817" s="381">
        <f>Obv!D73</f>
        <v>0</v>
      </c>
      <c r="D1817" s="381"/>
      <c r="E1817" s="381"/>
      <c r="F1817" s="381"/>
      <c r="G1817" s="375">
        <f t="shared" si="64"/>
        <v>0</v>
      </c>
      <c r="H1817" s="375">
        <f t="shared" si="65"/>
        <v>0</v>
      </c>
      <c r="I1817" s="376"/>
    </row>
    <row r="1818" spans="1:9" x14ac:dyDescent="0.25">
      <c r="A1818" s="398">
        <f t="shared" si="63"/>
        <v>159</v>
      </c>
      <c r="B1818" s="381">
        <f>Obv!C74</f>
        <v>63</v>
      </c>
      <c r="C1818" s="381">
        <f>Obv!D74</f>
        <v>0</v>
      </c>
      <c r="D1818" s="381"/>
      <c r="E1818" s="381"/>
      <c r="F1818" s="381"/>
      <c r="G1818" s="375">
        <f t="shared" si="64"/>
        <v>0</v>
      </c>
      <c r="H1818" s="375">
        <f t="shared" si="65"/>
        <v>0</v>
      </c>
      <c r="I1818" s="376"/>
    </row>
    <row r="1819" spans="1:9" x14ac:dyDescent="0.25">
      <c r="A1819" s="398">
        <f t="shared" si="63"/>
        <v>159</v>
      </c>
      <c r="B1819" s="381">
        <f>Obv!C75</f>
        <v>64</v>
      </c>
      <c r="C1819" s="381">
        <f>Obv!D75</f>
        <v>0</v>
      </c>
      <c r="D1819" s="381"/>
      <c r="E1819" s="381"/>
      <c r="F1819" s="381"/>
      <c r="G1819" s="375">
        <f t="shared" si="64"/>
        <v>0</v>
      </c>
      <c r="H1819" s="375">
        <f t="shared" si="65"/>
        <v>0</v>
      </c>
      <c r="I1819" s="376"/>
    </row>
    <row r="1820" spans="1:9" x14ac:dyDescent="0.25">
      <c r="A1820" s="398">
        <f t="shared" si="63"/>
        <v>159</v>
      </c>
      <c r="B1820" s="381">
        <f>Obv!C76</f>
        <v>65</v>
      </c>
      <c r="C1820" s="381">
        <f>Obv!D76</f>
        <v>0</v>
      </c>
      <c r="D1820" s="381"/>
      <c r="E1820" s="381"/>
      <c r="F1820" s="381"/>
      <c r="G1820" s="375">
        <f t="shared" si="64"/>
        <v>0</v>
      </c>
      <c r="H1820" s="375">
        <f t="shared" si="65"/>
        <v>0</v>
      </c>
      <c r="I1820" s="376"/>
    </row>
    <row r="1821" spans="1:9" x14ac:dyDescent="0.25">
      <c r="A1821" s="398">
        <f t="shared" si="63"/>
        <v>159</v>
      </c>
      <c r="B1821" s="381">
        <f>Obv!C77</f>
        <v>66</v>
      </c>
      <c r="C1821" s="381">
        <f>Obv!D77</f>
        <v>0</v>
      </c>
      <c r="D1821" s="381"/>
      <c r="E1821" s="381"/>
      <c r="F1821" s="381"/>
      <c r="G1821" s="375">
        <f t="shared" si="64"/>
        <v>0</v>
      </c>
      <c r="H1821" s="375">
        <f t="shared" si="65"/>
        <v>0</v>
      </c>
      <c r="I1821" s="376"/>
    </row>
    <row r="1822" spans="1:9" x14ac:dyDescent="0.25">
      <c r="A1822" s="398">
        <f t="shared" si="63"/>
        <v>159</v>
      </c>
      <c r="B1822" s="381">
        <f>Obv!C78</f>
        <v>67</v>
      </c>
      <c r="C1822" s="381">
        <f>Obv!D78</f>
        <v>0</v>
      </c>
      <c r="D1822" s="381"/>
      <c r="E1822" s="381"/>
      <c r="F1822" s="381"/>
      <c r="G1822" s="375">
        <f t="shared" si="64"/>
        <v>0</v>
      </c>
      <c r="H1822" s="375">
        <f t="shared" si="65"/>
        <v>0</v>
      </c>
      <c r="I1822" s="376"/>
    </row>
    <row r="1823" spans="1:9" x14ac:dyDescent="0.25">
      <c r="A1823" s="398">
        <f t="shared" si="63"/>
        <v>159</v>
      </c>
      <c r="B1823" s="381">
        <f>Obv!C79</f>
        <v>68</v>
      </c>
      <c r="C1823" s="381">
        <f>Obv!D79</f>
        <v>0</v>
      </c>
      <c r="D1823" s="381"/>
      <c r="E1823" s="381"/>
      <c r="F1823" s="381"/>
      <c r="G1823" s="375">
        <f t="shared" si="64"/>
        <v>0</v>
      </c>
      <c r="H1823" s="375">
        <f t="shared" si="65"/>
        <v>0</v>
      </c>
      <c r="I1823" s="376"/>
    </row>
    <row r="1824" spans="1:9" x14ac:dyDescent="0.25">
      <c r="A1824" s="398">
        <f t="shared" ref="A1824:A1849" si="66">A$1756</f>
        <v>159</v>
      </c>
      <c r="B1824" s="381">
        <f>Obv!C80</f>
        <v>69</v>
      </c>
      <c r="C1824" s="381">
        <f>Obv!D80</f>
        <v>6618</v>
      </c>
      <c r="D1824" s="381"/>
      <c r="E1824" s="381"/>
      <c r="F1824" s="381"/>
      <c r="G1824" s="375">
        <f t="shared" ref="G1824:G1837" si="67">B1824/1000*C1824</f>
        <v>456.64200000000005</v>
      </c>
      <c r="H1824" s="375">
        <f t="shared" ref="H1824:H1837" si="68">ABS(C1824-ROUND(C1824,0))</f>
        <v>0</v>
      </c>
      <c r="I1824" s="376"/>
    </row>
    <row r="1825" spans="1:9" x14ac:dyDescent="0.25">
      <c r="A1825" s="398">
        <f t="shared" si="66"/>
        <v>159</v>
      </c>
      <c r="B1825" s="381">
        <f>Obv!C81</f>
        <v>70</v>
      </c>
      <c r="C1825" s="381">
        <f>Obv!D81</f>
        <v>6618</v>
      </c>
      <c r="D1825" s="381"/>
      <c r="E1825" s="381"/>
      <c r="F1825" s="381"/>
      <c r="G1825" s="375">
        <f t="shared" si="67"/>
        <v>463.26000000000005</v>
      </c>
      <c r="H1825" s="375">
        <f t="shared" si="68"/>
        <v>0</v>
      </c>
      <c r="I1825" s="376"/>
    </row>
    <row r="1826" spans="1:9" x14ac:dyDescent="0.25">
      <c r="A1826" s="398">
        <f t="shared" si="66"/>
        <v>159</v>
      </c>
      <c r="B1826" s="381">
        <f>Obv!C82</f>
        <v>71</v>
      </c>
      <c r="C1826" s="381">
        <f>Obv!D82</f>
        <v>0</v>
      </c>
      <c r="D1826" s="381"/>
      <c r="E1826" s="381"/>
      <c r="F1826" s="381"/>
      <c r="G1826" s="375">
        <f t="shared" si="67"/>
        <v>0</v>
      </c>
      <c r="H1826" s="375">
        <f t="shared" si="68"/>
        <v>0</v>
      </c>
      <c r="I1826" s="376"/>
    </row>
    <row r="1827" spans="1:9" x14ac:dyDescent="0.25">
      <c r="A1827" s="398">
        <f t="shared" si="66"/>
        <v>159</v>
      </c>
      <c r="B1827" s="381">
        <f>Obv!C83</f>
        <v>72</v>
      </c>
      <c r="C1827" s="381">
        <f>Obv!D83</f>
        <v>0</v>
      </c>
      <c r="D1827" s="381"/>
      <c r="E1827" s="381"/>
      <c r="F1827" s="381"/>
      <c r="G1827" s="375">
        <f t="shared" si="67"/>
        <v>0</v>
      </c>
      <c r="H1827" s="375">
        <f t="shared" si="68"/>
        <v>0</v>
      </c>
      <c r="I1827" s="376"/>
    </row>
    <row r="1828" spans="1:9" x14ac:dyDescent="0.25">
      <c r="A1828" s="398">
        <f t="shared" si="66"/>
        <v>159</v>
      </c>
      <c r="B1828" s="381">
        <f>Obv!C84</f>
        <v>73</v>
      </c>
      <c r="C1828" s="381">
        <f>Obv!D84</f>
        <v>0</v>
      </c>
      <c r="D1828" s="381"/>
      <c r="E1828" s="381"/>
      <c r="F1828" s="381"/>
      <c r="G1828" s="375">
        <f t="shared" si="67"/>
        <v>0</v>
      </c>
      <c r="H1828" s="375">
        <f t="shared" si="68"/>
        <v>0</v>
      </c>
      <c r="I1828" s="376"/>
    </row>
    <row r="1829" spans="1:9" x14ac:dyDescent="0.25">
      <c r="A1829" s="398">
        <f t="shared" si="66"/>
        <v>159</v>
      </c>
      <c r="B1829" s="381">
        <f>Obv!C85</f>
        <v>74</v>
      </c>
      <c r="C1829" s="381">
        <f>Obv!D85</f>
        <v>161576</v>
      </c>
      <c r="D1829" s="381"/>
      <c r="E1829" s="381"/>
      <c r="F1829" s="381"/>
      <c r="G1829" s="375">
        <f t="shared" si="67"/>
        <v>11956.624</v>
      </c>
      <c r="H1829" s="375">
        <f t="shared" si="68"/>
        <v>0</v>
      </c>
      <c r="I1829" s="376"/>
    </row>
    <row r="1830" spans="1:9" x14ac:dyDescent="0.25">
      <c r="A1830" s="398">
        <f t="shared" si="66"/>
        <v>159</v>
      </c>
      <c r="B1830" s="381">
        <f>Obv!C86</f>
        <v>75</v>
      </c>
      <c r="C1830" s="381">
        <f>Obv!D86</f>
        <v>158132</v>
      </c>
      <c r="D1830" s="381"/>
      <c r="E1830" s="381"/>
      <c r="F1830" s="381"/>
      <c r="G1830" s="375">
        <f t="shared" si="67"/>
        <v>11859.9</v>
      </c>
      <c r="H1830" s="375">
        <f t="shared" si="68"/>
        <v>0</v>
      </c>
      <c r="I1830" s="376"/>
    </row>
    <row r="1831" spans="1:9" x14ac:dyDescent="0.25">
      <c r="A1831" s="398">
        <f t="shared" si="66"/>
        <v>159</v>
      </c>
      <c r="B1831" s="381">
        <f>Obv!C87</f>
        <v>76</v>
      </c>
      <c r="C1831" s="381">
        <f>Obv!D87</f>
        <v>0</v>
      </c>
      <c r="D1831" s="381"/>
      <c r="E1831" s="381"/>
      <c r="F1831" s="381"/>
      <c r="G1831" s="375">
        <f t="shared" si="67"/>
        <v>0</v>
      </c>
      <c r="H1831" s="375">
        <f t="shared" si="68"/>
        <v>0</v>
      </c>
      <c r="I1831" s="376"/>
    </row>
    <row r="1832" spans="1:9" x14ac:dyDescent="0.25">
      <c r="A1832" s="398">
        <f t="shared" si="66"/>
        <v>159</v>
      </c>
      <c r="B1832" s="381">
        <f>Obv!C88</f>
        <v>77</v>
      </c>
      <c r="C1832" s="381">
        <f>Obv!D88</f>
        <v>0</v>
      </c>
      <c r="D1832" s="381"/>
      <c r="E1832" s="381"/>
      <c r="F1832" s="381"/>
      <c r="G1832" s="375">
        <f t="shared" si="67"/>
        <v>0</v>
      </c>
      <c r="H1832" s="375">
        <f t="shared" si="68"/>
        <v>0</v>
      </c>
      <c r="I1832" s="376"/>
    </row>
    <row r="1833" spans="1:9" x14ac:dyDescent="0.25">
      <c r="A1833" s="398">
        <f t="shared" si="66"/>
        <v>159</v>
      </c>
      <c r="B1833" s="381">
        <f>Obv!C89</f>
        <v>78</v>
      </c>
      <c r="C1833" s="381">
        <f>Obv!D89</f>
        <v>3444</v>
      </c>
      <c r="D1833" s="381"/>
      <c r="E1833" s="381"/>
      <c r="F1833" s="381"/>
      <c r="G1833" s="375">
        <f t="shared" si="67"/>
        <v>268.63200000000001</v>
      </c>
      <c r="H1833" s="375">
        <f t="shared" si="68"/>
        <v>0</v>
      </c>
      <c r="I1833" s="376"/>
    </row>
    <row r="1834" spans="1:9" x14ac:dyDescent="0.25">
      <c r="A1834" s="398">
        <f t="shared" si="66"/>
        <v>159</v>
      </c>
      <c r="B1834" s="381">
        <f>Obv!C90</f>
        <v>79</v>
      </c>
      <c r="C1834" s="381">
        <f>Obv!D90</f>
        <v>1190</v>
      </c>
      <c r="D1834" s="381"/>
      <c r="E1834" s="381"/>
      <c r="F1834" s="381"/>
      <c r="G1834" s="375">
        <f t="shared" si="67"/>
        <v>94.01</v>
      </c>
      <c r="H1834" s="375">
        <f t="shared" si="68"/>
        <v>0</v>
      </c>
      <c r="I1834" s="376"/>
    </row>
    <row r="1835" spans="1:9" x14ac:dyDescent="0.25">
      <c r="A1835" s="398">
        <f t="shared" si="66"/>
        <v>159</v>
      </c>
      <c r="B1835" s="381">
        <f>Obv!C91</f>
        <v>80</v>
      </c>
      <c r="C1835" s="381">
        <f>Obv!D91</f>
        <v>0</v>
      </c>
      <c r="D1835" s="381"/>
      <c r="E1835" s="381"/>
      <c r="F1835" s="381"/>
      <c r="G1835" s="375">
        <f t="shared" si="67"/>
        <v>0</v>
      </c>
      <c r="H1835" s="375">
        <f t="shared" si="68"/>
        <v>0</v>
      </c>
      <c r="I1835" s="376"/>
    </row>
    <row r="1836" spans="1:9" x14ac:dyDescent="0.25">
      <c r="A1836" s="398">
        <f t="shared" si="66"/>
        <v>159</v>
      </c>
      <c r="B1836" s="381">
        <f>Obv!C92</f>
        <v>81</v>
      </c>
      <c r="C1836" s="381">
        <f>Obv!D92</f>
        <v>0</v>
      </c>
      <c r="D1836" s="381"/>
      <c r="E1836" s="381"/>
      <c r="F1836" s="381"/>
      <c r="G1836" s="375">
        <f t="shared" si="67"/>
        <v>0</v>
      </c>
      <c r="H1836" s="375">
        <f t="shared" si="68"/>
        <v>0</v>
      </c>
      <c r="I1836" s="376"/>
    </row>
    <row r="1837" spans="1:9" x14ac:dyDescent="0.25">
      <c r="A1837" s="398">
        <f t="shared" si="66"/>
        <v>159</v>
      </c>
      <c r="B1837" s="381">
        <f>Obv!C93</f>
        <v>82</v>
      </c>
      <c r="C1837" s="381">
        <f>Obv!D93</f>
        <v>0</v>
      </c>
      <c r="D1837" s="381"/>
      <c r="E1837" s="381"/>
      <c r="F1837" s="381"/>
      <c r="G1837" s="375">
        <f t="shared" si="67"/>
        <v>0</v>
      </c>
      <c r="H1837" s="375">
        <f t="shared" si="68"/>
        <v>0</v>
      </c>
      <c r="I1837" s="376"/>
    </row>
    <row r="1838" spans="1:9" x14ac:dyDescent="0.25">
      <c r="A1838" s="398">
        <f t="shared" si="66"/>
        <v>159</v>
      </c>
      <c r="B1838" s="381">
        <f>Obv!C94</f>
        <v>83</v>
      </c>
      <c r="C1838" s="381">
        <f>Obv!D94</f>
        <v>1190</v>
      </c>
      <c r="D1838" s="381"/>
      <c r="E1838" s="381"/>
      <c r="F1838" s="381"/>
      <c r="G1838" s="375">
        <f>B1838/1000*C1838</f>
        <v>98.77000000000001</v>
      </c>
      <c r="H1838" s="375">
        <f>ABS(C1838-ROUND(C1838,0))</f>
        <v>0</v>
      </c>
      <c r="I1838" s="376"/>
    </row>
    <row r="1839" spans="1:9" x14ac:dyDescent="0.25">
      <c r="A1839" s="398">
        <f t="shared" si="66"/>
        <v>159</v>
      </c>
      <c r="B1839" s="381">
        <f>Obv!C95</f>
        <v>84</v>
      </c>
      <c r="C1839" s="381">
        <f>Obv!D95</f>
        <v>0</v>
      </c>
      <c r="D1839" s="381"/>
      <c r="E1839" s="381"/>
      <c r="F1839" s="381"/>
      <c r="G1839" s="375">
        <f>B1839/1000*C1839</f>
        <v>0</v>
      </c>
      <c r="H1839" s="375">
        <f>ABS(C1839-ROUND(C1839,0))</f>
        <v>0</v>
      </c>
      <c r="I1839" s="376"/>
    </row>
    <row r="1840" spans="1:9" x14ac:dyDescent="0.25">
      <c r="A1840" s="398">
        <f t="shared" si="66"/>
        <v>159</v>
      </c>
      <c r="B1840" s="381">
        <f>Obv!C96</f>
        <v>85</v>
      </c>
      <c r="C1840" s="381">
        <f>Obv!D96</f>
        <v>0</v>
      </c>
      <c r="D1840" s="381"/>
      <c r="E1840" s="381"/>
      <c r="F1840" s="381"/>
      <c r="G1840" s="375">
        <f t="shared" ref="G1840:G1849" si="69">B1840/1000*C1840</f>
        <v>0</v>
      </c>
      <c r="H1840" s="375">
        <f t="shared" ref="H1840:H1849" si="70">ABS(C1840-ROUND(C1840,0))</f>
        <v>0</v>
      </c>
      <c r="I1840" s="376"/>
    </row>
    <row r="1841" spans="1:10" x14ac:dyDescent="0.25">
      <c r="A1841" s="398">
        <f t="shared" si="66"/>
        <v>159</v>
      </c>
      <c r="B1841" s="381">
        <f>Obv!C97</f>
        <v>86</v>
      </c>
      <c r="C1841" s="381">
        <f>Obv!D97</f>
        <v>0</v>
      </c>
      <c r="D1841" s="381"/>
      <c r="E1841" s="381"/>
      <c r="F1841" s="381"/>
      <c r="G1841" s="375">
        <f t="shared" si="69"/>
        <v>0</v>
      </c>
      <c r="H1841" s="375">
        <f t="shared" si="70"/>
        <v>0</v>
      </c>
      <c r="I1841" s="376"/>
    </row>
    <row r="1842" spans="1:10" x14ac:dyDescent="0.25">
      <c r="A1842" s="398">
        <f t="shared" si="66"/>
        <v>159</v>
      </c>
      <c r="B1842" s="381">
        <f>Obv!C98</f>
        <v>87</v>
      </c>
      <c r="C1842" s="381">
        <f>Obv!D98</f>
        <v>0</v>
      </c>
      <c r="D1842" s="381"/>
      <c r="E1842" s="381"/>
      <c r="F1842" s="381"/>
      <c r="G1842" s="375">
        <f t="shared" si="69"/>
        <v>0</v>
      </c>
      <c r="H1842" s="375">
        <f t="shared" si="70"/>
        <v>0</v>
      </c>
      <c r="I1842" s="376"/>
    </row>
    <row r="1843" spans="1:10" x14ac:dyDescent="0.25">
      <c r="A1843" s="398">
        <f t="shared" si="66"/>
        <v>159</v>
      </c>
      <c r="B1843" s="381">
        <f>Obv!C99</f>
        <v>88</v>
      </c>
      <c r="C1843" s="381">
        <f>Obv!D99</f>
        <v>0</v>
      </c>
      <c r="D1843" s="381"/>
      <c r="E1843" s="381"/>
      <c r="F1843" s="381"/>
      <c r="G1843" s="375">
        <f t="shared" si="69"/>
        <v>0</v>
      </c>
      <c r="H1843" s="375">
        <f t="shared" si="70"/>
        <v>0</v>
      </c>
      <c r="I1843" s="376"/>
    </row>
    <row r="1844" spans="1:10" x14ac:dyDescent="0.25">
      <c r="A1844" s="398">
        <f t="shared" si="66"/>
        <v>159</v>
      </c>
      <c r="B1844" s="381">
        <f>Obv!C100</f>
        <v>89</v>
      </c>
      <c r="C1844" s="381">
        <f>Obv!D100</f>
        <v>0</v>
      </c>
      <c r="D1844" s="381"/>
      <c r="E1844" s="381"/>
      <c r="F1844" s="381"/>
      <c r="G1844" s="375">
        <f t="shared" si="69"/>
        <v>0</v>
      </c>
      <c r="H1844" s="375">
        <f t="shared" si="70"/>
        <v>0</v>
      </c>
      <c r="I1844" s="376"/>
    </row>
    <row r="1845" spans="1:10" x14ac:dyDescent="0.25">
      <c r="A1845" s="398">
        <f t="shared" si="66"/>
        <v>159</v>
      </c>
      <c r="B1845" s="381">
        <f>Obv!C101</f>
        <v>90</v>
      </c>
      <c r="C1845" s="381">
        <f>Obv!D101</f>
        <v>198122</v>
      </c>
      <c r="D1845" s="381"/>
      <c r="E1845" s="381"/>
      <c r="F1845" s="381"/>
      <c r="G1845" s="375">
        <f t="shared" si="69"/>
        <v>17830.98</v>
      </c>
      <c r="H1845" s="375">
        <f t="shared" si="70"/>
        <v>0</v>
      </c>
      <c r="I1845" s="376"/>
    </row>
    <row r="1846" spans="1:10" x14ac:dyDescent="0.25">
      <c r="A1846" s="398">
        <f t="shared" si="66"/>
        <v>159</v>
      </c>
      <c r="B1846" s="381">
        <f>Obv!C102</f>
        <v>91</v>
      </c>
      <c r="C1846" s="381">
        <f>Obv!D102</f>
        <v>0</v>
      </c>
      <c r="D1846" s="381"/>
      <c r="E1846" s="381"/>
      <c r="F1846" s="381"/>
      <c r="G1846" s="375">
        <f t="shared" si="69"/>
        <v>0</v>
      </c>
      <c r="H1846" s="375">
        <f t="shared" si="70"/>
        <v>0</v>
      </c>
      <c r="I1846" s="376"/>
    </row>
    <row r="1847" spans="1:10" x14ac:dyDescent="0.25">
      <c r="A1847" s="398">
        <f t="shared" si="66"/>
        <v>159</v>
      </c>
      <c r="B1847" s="381">
        <f>Obv!C103</f>
        <v>92</v>
      </c>
      <c r="C1847" s="381">
        <f>Obv!D103</f>
        <v>144909</v>
      </c>
      <c r="D1847" s="381"/>
      <c r="E1847" s="381"/>
      <c r="F1847" s="381"/>
      <c r="G1847" s="375">
        <f t="shared" si="69"/>
        <v>13331.628000000001</v>
      </c>
      <c r="H1847" s="375">
        <f t="shared" si="70"/>
        <v>0</v>
      </c>
      <c r="I1847" s="376"/>
    </row>
    <row r="1848" spans="1:10" x14ac:dyDescent="0.25">
      <c r="A1848" s="398">
        <f t="shared" si="66"/>
        <v>159</v>
      </c>
      <c r="B1848" s="381">
        <f>Obv!C104</f>
        <v>93</v>
      </c>
      <c r="C1848" s="381">
        <f>Obv!D104</f>
        <v>53213</v>
      </c>
      <c r="D1848" s="381"/>
      <c r="E1848" s="381"/>
      <c r="F1848" s="381"/>
      <c r="G1848" s="375">
        <f t="shared" si="69"/>
        <v>4948.8090000000002</v>
      </c>
      <c r="H1848" s="375">
        <f t="shared" si="70"/>
        <v>0</v>
      </c>
      <c r="I1848" s="376"/>
    </row>
    <row r="1849" spans="1:10" x14ac:dyDescent="0.25">
      <c r="A1849" s="399">
        <f t="shared" si="66"/>
        <v>159</v>
      </c>
      <c r="B1849" s="396">
        <f>Obv!C105</f>
        <v>94</v>
      </c>
      <c r="C1849" s="396">
        <f>Obv!D105</f>
        <v>0</v>
      </c>
      <c r="D1849" s="396"/>
      <c r="E1849" s="396"/>
      <c r="F1849" s="396"/>
      <c r="G1849" s="393">
        <f t="shared" si="69"/>
        <v>0</v>
      </c>
      <c r="H1849" s="393">
        <f t="shared" si="70"/>
        <v>0</v>
      </c>
      <c r="I1849" s="394"/>
    </row>
    <row r="1850" spans="1:10" x14ac:dyDescent="0.25">
      <c r="A1850" s="383">
        <v>161</v>
      </c>
      <c r="B1850" s="384">
        <f>SPRRAS!C12</f>
        <v>1</v>
      </c>
      <c r="C1850" s="395">
        <f>SPRRAS!D12</f>
        <v>0</v>
      </c>
      <c r="D1850" s="395">
        <f>SPRRAS!E12</f>
        <v>0</v>
      </c>
      <c r="E1850" s="395"/>
      <c r="F1850" s="395"/>
      <c r="G1850" s="385">
        <f>B1850/1000*C1850+B1850/500*D1850</f>
        <v>0</v>
      </c>
      <c r="H1850" s="385">
        <f>ABS(C1850-ROUND(C1850,0))+ABS(D1850-ROUND(D1850,0))</f>
        <v>0</v>
      </c>
      <c r="I1850" s="386"/>
    </row>
    <row r="1851" spans="1:10" x14ac:dyDescent="0.25">
      <c r="A1851" s="373">
        <v>161</v>
      </c>
      <c r="B1851" s="374">
        <f>SPRRAS!C13</f>
        <v>2</v>
      </c>
      <c r="C1851" s="381">
        <f>SPRRAS!D13</f>
        <v>0</v>
      </c>
      <c r="D1851" s="381">
        <f>SPRRAS!E13</f>
        <v>0</v>
      </c>
      <c r="E1851" s="381"/>
      <c r="F1851" s="381"/>
      <c r="G1851" s="375">
        <f>B1851/1000*C1851+B1851/500*D1851</f>
        <v>0</v>
      </c>
      <c r="H1851" s="375">
        <f>ABS(C1851-ROUND(C1851,0))+ABS(D1851-ROUND(D1851,0))</f>
        <v>0</v>
      </c>
      <c r="I1851" s="376"/>
    </row>
    <row r="1852" spans="1:10" x14ac:dyDescent="0.25">
      <c r="A1852" s="373">
        <v>161</v>
      </c>
      <c r="B1852" s="374">
        <f>SPRRAS!C14</f>
        <v>3</v>
      </c>
      <c r="C1852" s="381">
        <f>SPRRAS!D14</f>
        <v>0</v>
      </c>
      <c r="D1852" s="381">
        <f>SPRRAS!E14</f>
        <v>0</v>
      </c>
      <c r="E1852" s="381"/>
      <c r="F1852" s="381"/>
      <c r="G1852" s="375">
        <f>B1852/1000*C1852+B1852/500*D1852</f>
        <v>0</v>
      </c>
      <c r="H1852" s="375">
        <f>ABS(C1852-ROUND(C1852,0))+ABS(D1852-ROUND(D1852,0))</f>
        <v>0</v>
      </c>
      <c r="I1852" s="376"/>
    </row>
    <row r="1853" spans="1:10" x14ac:dyDescent="0.25">
      <c r="A1853" s="373">
        <v>161</v>
      </c>
      <c r="B1853" s="374">
        <f>SPRRAS!C15</f>
        <v>4</v>
      </c>
      <c r="C1853" s="381">
        <f>SPRRAS!D15</f>
        <v>0</v>
      </c>
      <c r="D1853" s="381">
        <f>SPRRAS!E15</f>
        <v>0</v>
      </c>
      <c r="E1853" s="381"/>
      <c r="F1853" s="381"/>
      <c r="G1853" s="375">
        <f t="shared" ref="G1853:G1915" si="71">B1853/1000*C1853+B1853/500*D1853</f>
        <v>0</v>
      </c>
      <c r="H1853" s="375">
        <f t="shared" ref="H1853:H1915" si="72">ABS(C1853-ROUND(C1853,0))+ABS(D1853-ROUND(D1853,0))</f>
        <v>0</v>
      </c>
      <c r="I1853" s="376"/>
      <c r="J1853" s="143"/>
    </row>
    <row r="1854" spans="1:10" x14ac:dyDescent="0.25">
      <c r="A1854" s="373">
        <v>161</v>
      </c>
      <c r="B1854" s="374">
        <f>SPRRAS!C16</f>
        <v>5</v>
      </c>
      <c r="C1854" s="381">
        <f>SPRRAS!D16</f>
        <v>0</v>
      </c>
      <c r="D1854" s="381">
        <f>SPRRAS!E16</f>
        <v>0</v>
      </c>
      <c r="E1854" s="381"/>
      <c r="F1854" s="381"/>
      <c r="G1854" s="375">
        <f t="shared" si="71"/>
        <v>0</v>
      </c>
      <c r="H1854" s="375">
        <f t="shared" si="72"/>
        <v>0</v>
      </c>
      <c r="I1854" s="376"/>
      <c r="J1854" s="143"/>
    </row>
    <row r="1855" spans="1:10" x14ac:dyDescent="0.25">
      <c r="A1855" s="373">
        <v>161</v>
      </c>
      <c r="B1855" s="374">
        <f>SPRRAS!C17</f>
        <v>6</v>
      </c>
      <c r="C1855" s="381">
        <f>SPRRAS!D17</f>
        <v>0</v>
      </c>
      <c r="D1855" s="381">
        <f>SPRRAS!E17</f>
        <v>0</v>
      </c>
      <c r="E1855" s="381"/>
      <c r="F1855" s="381"/>
      <c r="G1855" s="375">
        <f t="shared" si="71"/>
        <v>0</v>
      </c>
      <c r="H1855" s="375">
        <f t="shared" si="72"/>
        <v>0</v>
      </c>
      <c r="I1855" s="376"/>
      <c r="J1855" s="143"/>
    </row>
    <row r="1856" spans="1:10" x14ac:dyDescent="0.25">
      <c r="A1856" s="373">
        <v>161</v>
      </c>
      <c r="B1856" s="374">
        <f>SPRRAS!C18</f>
        <v>7</v>
      </c>
      <c r="C1856" s="381">
        <f>SPRRAS!D18</f>
        <v>0</v>
      </c>
      <c r="D1856" s="381">
        <f>SPRRAS!E18</f>
        <v>0</v>
      </c>
      <c r="E1856" s="381"/>
      <c r="F1856" s="381"/>
      <c r="G1856" s="375">
        <f t="shared" si="71"/>
        <v>0</v>
      </c>
      <c r="H1856" s="375">
        <f t="shared" si="72"/>
        <v>0</v>
      </c>
      <c r="I1856" s="376"/>
      <c r="J1856" s="143"/>
    </row>
    <row r="1857" spans="1:10" x14ac:dyDescent="0.25">
      <c r="A1857" s="373">
        <v>161</v>
      </c>
      <c r="B1857" s="374">
        <f>SPRRAS!C19</f>
        <v>8</v>
      </c>
      <c r="C1857" s="381">
        <f>SPRRAS!D19</f>
        <v>0</v>
      </c>
      <c r="D1857" s="381">
        <f>SPRRAS!E19</f>
        <v>0</v>
      </c>
      <c r="E1857" s="381"/>
      <c r="F1857" s="381"/>
      <c r="G1857" s="375">
        <f t="shared" si="71"/>
        <v>0</v>
      </c>
      <c r="H1857" s="375">
        <f t="shared" si="72"/>
        <v>0</v>
      </c>
      <c r="I1857" s="376"/>
      <c r="J1857" s="143"/>
    </row>
    <row r="1858" spans="1:10" x14ac:dyDescent="0.25">
      <c r="A1858" s="373">
        <v>161</v>
      </c>
      <c r="B1858" s="374">
        <f>SPRRAS!C20</f>
        <v>9</v>
      </c>
      <c r="C1858" s="381">
        <f>SPRRAS!D20</f>
        <v>0</v>
      </c>
      <c r="D1858" s="381">
        <f>SPRRAS!E20</f>
        <v>0</v>
      </c>
      <c r="E1858" s="381"/>
      <c r="F1858" s="381"/>
      <c r="G1858" s="375">
        <f t="shared" si="71"/>
        <v>0</v>
      </c>
      <c r="H1858" s="375">
        <f t="shared" si="72"/>
        <v>0</v>
      </c>
      <c r="I1858" s="376"/>
      <c r="J1858" s="143"/>
    </row>
    <row r="1859" spans="1:10" x14ac:dyDescent="0.25">
      <c r="A1859" s="373">
        <v>161</v>
      </c>
      <c r="B1859" s="374">
        <f>SPRRAS!C21</f>
        <v>10</v>
      </c>
      <c r="C1859" s="381">
        <f>SPRRAS!D21</f>
        <v>0</v>
      </c>
      <c r="D1859" s="381">
        <f>SPRRAS!E21</f>
        <v>0</v>
      </c>
      <c r="E1859" s="381"/>
      <c r="F1859" s="381"/>
      <c r="G1859" s="375">
        <f t="shared" si="71"/>
        <v>0</v>
      </c>
      <c r="H1859" s="375">
        <f t="shared" si="72"/>
        <v>0</v>
      </c>
      <c r="I1859" s="376"/>
      <c r="J1859" s="143"/>
    </row>
    <row r="1860" spans="1:10" x14ac:dyDescent="0.25">
      <c r="A1860" s="373">
        <v>161</v>
      </c>
      <c r="B1860" s="374">
        <f>SPRRAS!C22</f>
        <v>11</v>
      </c>
      <c r="C1860" s="381">
        <f>SPRRAS!D22</f>
        <v>0</v>
      </c>
      <c r="D1860" s="381">
        <f>SPRRAS!E22</f>
        <v>0</v>
      </c>
      <c r="E1860" s="381"/>
      <c r="F1860" s="381"/>
      <c r="G1860" s="375">
        <f t="shared" si="71"/>
        <v>0</v>
      </c>
      <c r="H1860" s="375">
        <f t="shared" si="72"/>
        <v>0</v>
      </c>
      <c r="I1860" s="376"/>
      <c r="J1860" s="143"/>
    </row>
    <row r="1861" spans="1:10" x14ac:dyDescent="0.25">
      <c r="A1861" s="373">
        <v>161</v>
      </c>
      <c r="B1861" s="374">
        <f>SPRRAS!C23</f>
        <v>12</v>
      </c>
      <c r="C1861" s="381">
        <f>SPRRAS!D23</f>
        <v>0</v>
      </c>
      <c r="D1861" s="381">
        <f>SPRRAS!E23</f>
        <v>0</v>
      </c>
      <c r="E1861" s="381"/>
      <c r="F1861" s="381"/>
      <c r="G1861" s="375">
        <f t="shared" si="71"/>
        <v>0</v>
      </c>
      <c r="H1861" s="375">
        <f t="shared" si="72"/>
        <v>0</v>
      </c>
      <c r="I1861" s="376"/>
      <c r="J1861" s="143"/>
    </row>
    <row r="1862" spans="1:10" x14ac:dyDescent="0.25">
      <c r="A1862" s="373">
        <v>161</v>
      </c>
      <c r="B1862" s="374">
        <f>SPRRAS!C24</f>
        <v>13</v>
      </c>
      <c r="C1862" s="381">
        <f>SPRRAS!D24</f>
        <v>0</v>
      </c>
      <c r="D1862" s="381">
        <f>SPRRAS!E24</f>
        <v>0</v>
      </c>
      <c r="E1862" s="381"/>
      <c r="F1862" s="381"/>
      <c r="G1862" s="375">
        <f t="shared" si="71"/>
        <v>0</v>
      </c>
      <c r="H1862" s="375">
        <f t="shared" si="72"/>
        <v>0</v>
      </c>
      <c r="I1862" s="376"/>
      <c r="J1862" s="143"/>
    </row>
    <row r="1863" spans="1:10" x14ac:dyDescent="0.25">
      <c r="A1863" s="373">
        <v>161</v>
      </c>
      <c r="B1863" s="374">
        <f>SPRRAS!C25</f>
        <v>14</v>
      </c>
      <c r="C1863" s="381">
        <f>SPRRAS!D25</f>
        <v>0</v>
      </c>
      <c r="D1863" s="381">
        <f>SPRRAS!E25</f>
        <v>0</v>
      </c>
      <c r="E1863" s="381"/>
      <c r="F1863" s="381"/>
      <c r="G1863" s="375">
        <f t="shared" si="71"/>
        <v>0</v>
      </c>
      <c r="H1863" s="375">
        <f t="shared" si="72"/>
        <v>0</v>
      </c>
      <c r="I1863" s="376"/>
      <c r="J1863" s="143"/>
    </row>
    <row r="1864" spans="1:10" x14ac:dyDescent="0.25">
      <c r="A1864" s="373">
        <v>161</v>
      </c>
      <c r="B1864" s="374">
        <f>SPRRAS!C26</f>
        <v>15</v>
      </c>
      <c r="C1864" s="381">
        <f>SPRRAS!D26</f>
        <v>0</v>
      </c>
      <c r="D1864" s="381">
        <f>SPRRAS!E26</f>
        <v>0</v>
      </c>
      <c r="E1864" s="381"/>
      <c r="F1864" s="381"/>
      <c r="G1864" s="375">
        <f t="shared" si="71"/>
        <v>0</v>
      </c>
      <c r="H1864" s="375">
        <f t="shared" si="72"/>
        <v>0</v>
      </c>
      <c r="I1864" s="376"/>
      <c r="J1864" s="143"/>
    </row>
    <row r="1865" spans="1:10" x14ac:dyDescent="0.25">
      <c r="A1865" s="373">
        <v>161</v>
      </c>
      <c r="B1865" s="374">
        <f>SPRRAS!C27</f>
        <v>16</v>
      </c>
      <c r="C1865" s="381">
        <f>SPRRAS!D27</f>
        <v>0</v>
      </c>
      <c r="D1865" s="381">
        <f>SPRRAS!E27</f>
        <v>0</v>
      </c>
      <c r="E1865" s="381"/>
      <c r="F1865" s="381"/>
      <c r="G1865" s="375">
        <f t="shared" si="71"/>
        <v>0</v>
      </c>
      <c r="H1865" s="375">
        <f t="shared" si="72"/>
        <v>0</v>
      </c>
      <c r="I1865" s="376"/>
      <c r="J1865" s="143"/>
    </row>
    <row r="1866" spans="1:10" x14ac:dyDescent="0.25">
      <c r="A1866" s="373">
        <v>161</v>
      </c>
      <c r="B1866" s="374">
        <f>SPRRAS!C28</f>
        <v>17</v>
      </c>
      <c r="C1866" s="381">
        <f>SPRRAS!D28</f>
        <v>0</v>
      </c>
      <c r="D1866" s="381">
        <f>SPRRAS!E28</f>
        <v>0</v>
      </c>
      <c r="E1866" s="381"/>
      <c r="F1866" s="381"/>
      <c r="G1866" s="375">
        <f t="shared" si="71"/>
        <v>0</v>
      </c>
      <c r="H1866" s="375">
        <f t="shared" si="72"/>
        <v>0</v>
      </c>
      <c r="I1866" s="376"/>
      <c r="J1866" s="143"/>
    </row>
    <row r="1867" spans="1:10" x14ac:dyDescent="0.25">
      <c r="A1867" s="373">
        <v>161</v>
      </c>
      <c r="B1867" s="374">
        <f>SPRRAS!C29</f>
        <v>18</v>
      </c>
      <c r="C1867" s="381">
        <f>SPRRAS!D29</f>
        <v>0</v>
      </c>
      <c r="D1867" s="381">
        <f>SPRRAS!E29</f>
        <v>0</v>
      </c>
      <c r="E1867" s="381"/>
      <c r="F1867" s="381"/>
      <c r="G1867" s="375">
        <f t="shared" si="71"/>
        <v>0</v>
      </c>
      <c r="H1867" s="375">
        <f t="shared" si="72"/>
        <v>0</v>
      </c>
      <c r="I1867" s="376"/>
      <c r="J1867" s="143"/>
    </row>
    <row r="1868" spans="1:10" x14ac:dyDescent="0.25">
      <c r="A1868" s="373">
        <v>161</v>
      </c>
      <c r="B1868" s="374">
        <f>SPRRAS!C30</f>
        <v>19</v>
      </c>
      <c r="C1868" s="381">
        <f>SPRRAS!D30</f>
        <v>0</v>
      </c>
      <c r="D1868" s="381">
        <f>SPRRAS!E30</f>
        <v>0</v>
      </c>
      <c r="E1868" s="381"/>
      <c r="F1868" s="381"/>
      <c r="G1868" s="375">
        <f t="shared" si="71"/>
        <v>0</v>
      </c>
      <c r="H1868" s="375">
        <f t="shared" si="72"/>
        <v>0</v>
      </c>
      <c r="I1868" s="376"/>
      <c r="J1868" s="143"/>
    </row>
    <row r="1869" spans="1:10" x14ac:dyDescent="0.25">
      <c r="A1869" s="373">
        <v>161</v>
      </c>
      <c r="B1869" s="374">
        <f>SPRRAS!C31</f>
        <v>20</v>
      </c>
      <c r="C1869" s="381">
        <f>SPRRAS!D31</f>
        <v>0</v>
      </c>
      <c r="D1869" s="381">
        <f>SPRRAS!E31</f>
        <v>0</v>
      </c>
      <c r="E1869" s="381"/>
      <c r="F1869" s="381"/>
      <c r="G1869" s="375">
        <f t="shared" si="71"/>
        <v>0</v>
      </c>
      <c r="H1869" s="375">
        <f t="shared" si="72"/>
        <v>0</v>
      </c>
      <c r="I1869" s="376"/>
      <c r="J1869" s="143"/>
    </row>
    <row r="1870" spans="1:10" x14ac:dyDescent="0.25">
      <c r="A1870" s="373">
        <v>161</v>
      </c>
      <c r="B1870" s="374">
        <f>SPRRAS!C32</f>
        <v>21</v>
      </c>
      <c r="C1870" s="381">
        <f>SPRRAS!D32</f>
        <v>0</v>
      </c>
      <c r="D1870" s="381">
        <f>SPRRAS!E32</f>
        <v>0</v>
      </c>
      <c r="E1870" s="381"/>
      <c r="F1870" s="381"/>
      <c r="G1870" s="375">
        <f t="shared" si="71"/>
        <v>0</v>
      </c>
      <c r="H1870" s="375">
        <f t="shared" si="72"/>
        <v>0</v>
      </c>
      <c r="I1870" s="376"/>
      <c r="J1870" s="143"/>
    </row>
    <row r="1871" spans="1:10" x14ac:dyDescent="0.25">
      <c r="A1871" s="373">
        <v>161</v>
      </c>
      <c r="B1871" s="374">
        <f>SPRRAS!C33</f>
        <v>22</v>
      </c>
      <c r="C1871" s="381">
        <f>SPRRAS!D33</f>
        <v>0</v>
      </c>
      <c r="D1871" s="381">
        <f>SPRRAS!E33</f>
        <v>0</v>
      </c>
      <c r="E1871" s="381"/>
      <c r="F1871" s="381"/>
      <c r="G1871" s="375">
        <f t="shared" si="71"/>
        <v>0</v>
      </c>
      <c r="H1871" s="375">
        <f t="shared" si="72"/>
        <v>0</v>
      </c>
      <c r="I1871" s="376"/>
      <c r="J1871" s="143"/>
    </row>
    <row r="1872" spans="1:10" x14ac:dyDescent="0.25">
      <c r="A1872" s="373">
        <v>161</v>
      </c>
      <c r="B1872" s="374">
        <f>SPRRAS!C34</f>
        <v>23</v>
      </c>
      <c r="C1872" s="381">
        <f>SPRRAS!D34</f>
        <v>0</v>
      </c>
      <c r="D1872" s="381">
        <f>SPRRAS!E34</f>
        <v>0</v>
      </c>
      <c r="E1872" s="381"/>
      <c r="F1872" s="381"/>
      <c r="G1872" s="375">
        <f t="shared" si="71"/>
        <v>0</v>
      </c>
      <c r="H1872" s="375">
        <f t="shared" si="72"/>
        <v>0</v>
      </c>
      <c r="I1872" s="376"/>
      <c r="J1872" s="143"/>
    </row>
    <row r="1873" spans="1:10" x14ac:dyDescent="0.25">
      <c r="A1873" s="373">
        <v>161</v>
      </c>
      <c r="B1873" s="374">
        <f>SPRRAS!C35</f>
        <v>24</v>
      </c>
      <c r="C1873" s="381">
        <f>SPRRAS!D35</f>
        <v>0</v>
      </c>
      <c r="D1873" s="381">
        <f>SPRRAS!E35</f>
        <v>0</v>
      </c>
      <c r="E1873" s="381"/>
      <c r="F1873" s="381"/>
      <c r="G1873" s="375">
        <f t="shared" si="71"/>
        <v>0</v>
      </c>
      <c r="H1873" s="375">
        <f t="shared" si="72"/>
        <v>0</v>
      </c>
      <c r="I1873" s="376"/>
      <c r="J1873" s="143"/>
    </row>
    <row r="1874" spans="1:10" x14ac:dyDescent="0.25">
      <c r="A1874" s="373">
        <v>161</v>
      </c>
      <c r="B1874" s="374">
        <f>SPRRAS!C36</f>
        <v>25</v>
      </c>
      <c r="C1874" s="381">
        <f>SPRRAS!D36</f>
        <v>0</v>
      </c>
      <c r="D1874" s="381">
        <f>SPRRAS!E36</f>
        <v>0</v>
      </c>
      <c r="E1874" s="381"/>
      <c r="F1874" s="381"/>
      <c r="G1874" s="375">
        <f t="shared" si="71"/>
        <v>0</v>
      </c>
      <c r="H1874" s="375">
        <f t="shared" si="72"/>
        <v>0</v>
      </c>
      <c r="I1874" s="376"/>
      <c r="J1874" s="143"/>
    </row>
    <row r="1875" spans="1:10" x14ac:dyDescent="0.25">
      <c r="A1875" s="373">
        <v>161</v>
      </c>
      <c r="B1875" s="374">
        <f>SPRRAS!C37</f>
        <v>26</v>
      </c>
      <c r="C1875" s="381">
        <f>SPRRAS!D37</f>
        <v>0</v>
      </c>
      <c r="D1875" s="381">
        <f>SPRRAS!E37</f>
        <v>0</v>
      </c>
      <c r="E1875" s="381"/>
      <c r="F1875" s="381"/>
      <c r="G1875" s="375">
        <f t="shared" si="71"/>
        <v>0</v>
      </c>
      <c r="H1875" s="375">
        <f t="shared" si="72"/>
        <v>0</v>
      </c>
      <c r="I1875" s="376"/>
      <c r="J1875" s="143"/>
    </row>
    <row r="1876" spans="1:10" x14ac:dyDescent="0.25">
      <c r="A1876" s="373">
        <v>161</v>
      </c>
      <c r="B1876" s="374">
        <f>SPRRAS!C38</f>
        <v>27</v>
      </c>
      <c r="C1876" s="381">
        <f>SPRRAS!D38</f>
        <v>0</v>
      </c>
      <c r="D1876" s="381">
        <f>SPRRAS!E38</f>
        <v>0</v>
      </c>
      <c r="E1876" s="381"/>
      <c r="F1876" s="381"/>
      <c r="G1876" s="375">
        <f t="shared" si="71"/>
        <v>0</v>
      </c>
      <c r="H1876" s="375">
        <f t="shared" si="72"/>
        <v>0</v>
      </c>
      <c r="I1876" s="376"/>
      <c r="J1876" s="143"/>
    </row>
    <row r="1877" spans="1:10" x14ac:dyDescent="0.25">
      <c r="A1877" s="373">
        <v>161</v>
      </c>
      <c r="B1877" s="374">
        <f>SPRRAS!C39</f>
        <v>28</v>
      </c>
      <c r="C1877" s="381">
        <f>SPRRAS!D39</f>
        <v>0</v>
      </c>
      <c r="D1877" s="381">
        <f>SPRRAS!E39</f>
        <v>0</v>
      </c>
      <c r="E1877" s="381"/>
      <c r="F1877" s="381"/>
      <c r="G1877" s="375">
        <f t="shared" si="71"/>
        <v>0</v>
      </c>
      <c r="H1877" s="375">
        <f t="shared" si="72"/>
        <v>0</v>
      </c>
      <c r="I1877" s="376"/>
      <c r="J1877" s="143"/>
    </row>
    <row r="1878" spans="1:10" x14ac:dyDescent="0.25">
      <c r="A1878" s="373">
        <v>161</v>
      </c>
      <c r="B1878" s="374">
        <f>SPRRAS!C41</f>
        <v>29</v>
      </c>
      <c r="C1878" s="381">
        <f>SPRRAS!D41</f>
        <v>0</v>
      </c>
      <c r="D1878" s="381">
        <f>SPRRAS!E41</f>
        <v>0</v>
      </c>
      <c r="E1878" s="381"/>
      <c r="F1878" s="381"/>
      <c r="G1878" s="375">
        <f t="shared" si="71"/>
        <v>0</v>
      </c>
      <c r="H1878" s="375">
        <f t="shared" si="72"/>
        <v>0</v>
      </c>
      <c r="I1878" s="376"/>
      <c r="J1878" s="143"/>
    </row>
    <row r="1879" spans="1:10" x14ac:dyDescent="0.25">
      <c r="A1879" s="373">
        <v>161</v>
      </c>
      <c r="B1879" s="374">
        <f>SPRRAS!C42</f>
        <v>30</v>
      </c>
      <c r="C1879" s="381">
        <f>SPRRAS!D42</f>
        <v>0</v>
      </c>
      <c r="D1879" s="381">
        <f>SPRRAS!E42</f>
        <v>0</v>
      </c>
      <c r="E1879" s="381"/>
      <c r="F1879" s="381"/>
      <c r="G1879" s="375">
        <f t="shared" si="71"/>
        <v>0</v>
      </c>
      <c r="H1879" s="375">
        <f t="shared" si="72"/>
        <v>0</v>
      </c>
      <c r="I1879" s="376"/>
      <c r="J1879" s="143"/>
    </row>
    <row r="1880" spans="1:10" x14ac:dyDescent="0.25">
      <c r="A1880" s="373">
        <v>161</v>
      </c>
      <c r="B1880" s="374">
        <f>SPRRAS!C43</f>
        <v>31</v>
      </c>
      <c r="C1880" s="381">
        <f>SPRRAS!D43</f>
        <v>0</v>
      </c>
      <c r="D1880" s="381">
        <f>SPRRAS!E43</f>
        <v>0</v>
      </c>
      <c r="E1880" s="381"/>
      <c r="F1880" s="381"/>
      <c r="G1880" s="375">
        <f t="shared" si="71"/>
        <v>0</v>
      </c>
      <c r="H1880" s="375">
        <f t="shared" si="72"/>
        <v>0</v>
      </c>
      <c r="I1880" s="376"/>
      <c r="J1880" s="143"/>
    </row>
    <row r="1881" spans="1:10" x14ac:dyDescent="0.25">
      <c r="A1881" s="373">
        <v>161</v>
      </c>
      <c r="B1881" s="374">
        <f>SPRRAS!C44</f>
        <v>32</v>
      </c>
      <c r="C1881" s="381">
        <f>SPRRAS!D44</f>
        <v>0</v>
      </c>
      <c r="D1881" s="381">
        <f>SPRRAS!E44</f>
        <v>0</v>
      </c>
      <c r="E1881" s="381"/>
      <c r="F1881" s="381"/>
      <c r="G1881" s="375">
        <f t="shared" si="71"/>
        <v>0</v>
      </c>
      <c r="H1881" s="375">
        <f t="shared" si="72"/>
        <v>0</v>
      </c>
      <c r="I1881" s="376"/>
      <c r="J1881" s="143"/>
    </row>
    <row r="1882" spans="1:10" x14ac:dyDescent="0.25">
      <c r="A1882" s="373">
        <v>161</v>
      </c>
      <c r="B1882" s="374">
        <f>SPRRAS!C45</f>
        <v>33</v>
      </c>
      <c r="C1882" s="381">
        <f>SPRRAS!D45</f>
        <v>0</v>
      </c>
      <c r="D1882" s="381">
        <f>SPRRAS!E45</f>
        <v>0</v>
      </c>
      <c r="E1882" s="381"/>
      <c r="F1882" s="381"/>
      <c r="G1882" s="375">
        <f t="shared" si="71"/>
        <v>0</v>
      </c>
      <c r="H1882" s="375">
        <f t="shared" si="72"/>
        <v>0</v>
      </c>
      <c r="I1882" s="376"/>
      <c r="J1882" s="143"/>
    </row>
    <row r="1883" spans="1:10" x14ac:dyDescent="0.25">
      <c r="A1883" s="373">
        <v>161</v>
      </c>
      <c r="B1883" s="374">
        <f>SPRRAS!C46</f>
        <v>34</v>
      </c>
      <c r="C1883" s="381">
        <f>SPRRAS!D46</f>
        <v>0</v>
      </c>
      <c r="D1883" s="381">
        <f>SPRRAS!E46</f>
        <v>0</v>
      </c>
      <c r="E1883" s="381"/>
      <c r="F1883" s="381"/>
      <c r="G1883" s="375">
        <f t="shared" si="71"/>
        <v>0</v>
      </c>
      <c r="H1883" s="375">
        <f t="shared" si="72"/>
        <v>0</v>
      </c>
      <c r="I1883" s="376"/>
      <c r="J1883" s="143"/>
    </row>
    <row r="1884" spans="1:10" x14ac:dyDescent="0.25">
      <c r="A1884" s="373">
        <v>161</v>
      </c>
      <c r="B1884" s="374">
        <f>SPRRAS!C47</f>
        <v>35</v>
      </c>
      <c r="C1884" s="381">
        <f>SPRRAS!D47</f>
        <v>0</v>
      </c>
      <c r="D1884" s="381">
        <f>SPRRAS!E47</f>
        <v>0</v>
      </c>
      <c r="E1884" s="381"/>
      <c r="F1884" s="381"/>
      <c r="G1884" s="375">
        <f t="shared" si="71"/>
        <v>0</v>
      </c>
      <c r="H1884" s="375">
        <f t="shared" si="72"/>
        <v>0</v>
      </c>
      <c r="I1884" s="376"/>
      <c r="J1884" s="143"/>
    </row>
    <row r="1885" spans="1:10" x14ac:dyDescent="0.25">
      <c r="A1885" s="373">
        <v>161</v>
      </c>
      <c r="B1885" s="374">
        <f>SPRRAS!C48</f>
        <v>36</v>
      </c>
      <c r="C1885" s="381">
        <f>SPRRAS!D48</f>
        <v>0</v>
      </c>
      <c r="D1885" s="381">
        <f>SPRRAS!E48</f>
        <v>0</v>
      </c>
      <c r="E1885" s="381"/>
      <c r="F1885" s="381"/>
      <c r="G1885" s="375">
        <f t="shared" si="71"/>
        <v>0</v>
      </c>
      <c r="H1885" s="375">
        <f t="shared" si="72"/>
        <v>0</v>
      </c>
      <c r="I1885" s="376"/>
      <c r="J1885" s="143"/>
    </row>
    <row r="1886" spans="1:10" x14ac:dyDescent="0.25">
      <c r="A1886" s="373">
        <v>161</v>
      </c>
      <c r="B1886" s="374">
        <f>SPRRAS!C49</f>
        <v>37</v>
      </c>
      <c r="C1886" s="381">
        <f>SPRRAS!D49</f>
        <v>0</v>
      </c>
      <c r="D1886" s="381">
        <f>SPRRAS!E49</f>
        <v>0</v>
      </c>
      <c r="E1886" s="381"/>
      <c r="F1886" s="381"/>
      <c r="G1886" s="375">
        <f t="shared" si="71"/>
        <v>0</v>
      </c>
      <c r="H1886" s="375">
        <f t="shared" si="72"/>
        <v>0</v>
      </c>
      <c r="I1886" s="376"/>
      <c r="J1886" s="143"/>
    </row>
    <row r="1887" spans="1:10" x14ac:dyDescent="0.25">
      <c r="A1887" s="373">
        <v>161</v>
      </c>
      <c r="B1887" s="374">
        <f>SPRRAS!C50</f>
        <v>38</v>
      </c>
      <c r="C1887" s="381">
        <f>SPRRAS!D50</f>
        <v>0</v>
      </c>
      <c r="D1887" s="381">
        <f>SPRRAS!E50</f>
        <v>0</v>
      </c>
      <c r="E1887" s="381"/>
      <c r="F1887" s="381"/>
      <c r="G1887" s="375">
        <f t="shared" si="71"/>
        <v>0</v>
      </c>
      <c r="H1887" s="375">
        <f t="shared" si="72"/>
        <v>0</v>
      </c>
      <c r="I1887" s="376"/>
      <c r="J1887" s="143"/>
    </row>
    <row r="1888" spans="1:10" x14ac:dyDescent="0.25">
      <c r="A1888" s="373">
        <v>161</v>
      </c>
      <c r="B1888" s="374">
        <f>SPRRAS!C51</f>
        <v>39</v>
      </c>
      <c r="C1888" s="381">
        <f>SPRRAS!D51</f>
        <v>0</v>
      </c>
      <c r="D1888" s="381">
        <f>SPRRAS!E51</f>
        <v>0</v>
      </c>
      <c r="E1888" s="381"/>
      <c r="F1888" s="381"/>
      <c r="G1888" s="375">
        <f t="shared" si="71"/>
        <v>0</v>
      </c>
      <c r="H1888" s="375">
        <f t="shared" si="72"/>
        <v>0</v>
      </c>
      <c r="I1888" s="376"/>
      <c r="J1888" s="143"/>
    </row>
    <row r="1889" spans="1:10" x14ac:dyDescent="0.25">
      <c r="A1889" s="373">
        <v>161</v>
      </c>
      <c r="B1889" s="374">
        <f>SPRRAS!C52</f>
        <v>40</v>
      </c>
      <c r="C1889" s="381">
        <f>SPRRAS!D52</f>
        <v>0</v>
      </c>
      <c r="D1889" s="381">
        <f>SPRRAS!E52</f>
        <v>0</v>
      </c>
      <c r="E1889" s="381"/>
      <c r="F1889" s="381"/>
      <c r="G1889" s="375">
        <f t="shared" si="71"/>
        <v>0</v>
      </c>
      <c r="H1889" s="375">
        <f t="shared" si="72"/>
        <v>0</v>
      </c>
      <c r="I1889" s="376"/>
      <c r="J1889" s="143"/>
    </row>
    <row r="1890" spans="1:10" x14ac:dyDescent="0.25">
      <c r="A1890" s="373">
        <v>161</v>
      </c>
      <c r="B1890" s="374">
        <f>SPRRAS!C53</f>
        <v>41</v>
      </c>
      <c r="C1890" s="381">
        <f>SPRRAS!D53</f>
        <v>0</v>
      </c>
      <c r="D1890" s="381">
        <f>SPRRAS!E53</f>
        <v>0</v>
      </c>
      <c r="E1890" s="381"/>
      <c r="F1890" s="381"/>
      <c r="G1890" s="375">
        <f t="shared" si="71"/>
        <v>0</v>
      </c>
      <c r="H1890" s="375">
        <f t="shared" si="72"/>
        <v>0</v>
      </c>
      <c r="I1890" s="376"/>
      <c r="J1890" s="143"/>
    </row>
    <row r="1891" spans="1:10" x14ac:dyDescent="0.25">
      <c r="A1891" s="373">
        <v>161</v>
      </c>
      <c r="B1891" s="374">
        <f>SPRRAS!C54</f>
        <v>42</v>
      </c>
      <c r="C1891" s="381">
        <f>SPRRAS!D54</f>
        <v>0</v>
      </c>
      <c r="D1891" s="381">
        <f>SPRRAS!E54</f>
        <v>0</v>
      </c>
      <c r="E1891" s="381"/>
      <c r="F1891" s="381"/>
      <c r="G1891" s="375">
        <f t="shared" si="71"/>
        <v>0</v>
      </c>
      <c r="H1891" s="375">
        <f t="shared" si="72"/>
        <v>0</v>
      </c>
      <c r="I1891" s="376"/>
      <c r="J1891" s="143"/>
    </row>
    <row r="1892" spans="1:10" x14ac:dyDescent="0.25">
      <c r="A1892" s="373">
        <v>161</v>
      </c>
      <c r="B1892" s="374">
        <f>SPRRAS!C55</f>
        <v>43</v>
      </c>
      <c r="C1892" s="381">
        <f>SPRRAS!D55</f>
        <v>0</v>
      </c>
      <c r="D1892" s="381">
        <f>SPRRAS!E55</f>
        <v>0</v>
      </c>
      <c r="E1892" s="381"/>
      <c r="F1892" s="381"/>
      <c r="G1892" s="375">
        <f t="shared" si="71"/>
        <v>0</v>
      </c>
      <c r="H1892" s="375">
        <f t="shared" si="72"/>
        <v>0</v>
      </c>
      <c r="I1892" s="376"/>
      <c r="J1892" s="143"/>
    </row>
    <row r="1893" spans="1:10" x14ac:dyDescent="0.25">
      <c r="A1893" s="373">
        <v>161</v>
      </c>
      <c r="B1893" s="374">
        <f>SPRRAS!C56</f>
        <v>44</v>
      </c>
      <c r="C1893" s="381">
        <f>SPRRAS!D56</f>
        <v>0</v>
      </c>
      <c r="D1893" s="381">
        <f>SPRRAS!E56</f>
        <v>0</v>
      </c>
      <c r="E1893" s="381"/>
      <c r="F1893" s="381"/>
      <c r="G1893" s="375">
        <f t="shared" si="71"/>
        <v>0</v>
      </c>
      <c r="H1893" s="375">
        <f t="shared" si="72"/>
        <v>0</v>
      </c>
      <c r="I1893" s="376"/>
      <c r="J1893" s="143"/>
    </row>
    <row r="1894" spans="1:10" x14ac:dyDescent="0.25">
      <c r="A1894" s="373">
        <v>161</v>
      </c>
      <c r="B1894" s="374">
        <f>SPRRAS!C57</f>
        <v>45</v>
      </c>
      <c r="C1894" s="381">
        <f>SPRRAS!D57</f>
        <v>0</v>
      </c>
      <c r="D1894" s="381">
        <f>SPRRAS!E57</f>
        <v>0</v>
      </c>
      <c r="E1894" s="381"/>
      <c r="F1894" s="381"/>
      <c r="G1894" s="375">
        <f t="shared" si="71"/>
        <v>0</v>
      </c>
      <c r="H1894" s="375">
        <f t="shared" si="72"/>
        <v>0</v>
      </c>
      <c r="I1894" s="376"/>
      <c r="J1894" s="143"/>
    </row>
    <row r="1895" spans="1:10" x14ac:dyDescent="0.25">
      <c r="A1895" s="373">
        <v>161</v>
      </c>
      <c r="B1895" s="374">
        <f>SPRRAS!C58</f>
        <v>46</v>
      </c>
      <c r="C1895" s="381">
        <f>SPRRAS!D58</f>
        <v>0</v>
      </c>
      <c r="D1895" s="381">
        <f>SPRRAS!E58</f>
        <v>0</v>
      </c>
      <c r="E1895" s="381"/>
      <c r="F1895" s="381"/>
      <c r="G1895" s="375">
        <f t="shared" si="71"/>
        <v>0</v>
      </c>
      <c r="H1895" s="375">
        <f t="shared" si="72"/>
        <v>0</v>
      </c>
      <c r="I1895" s="376"/>
      <c r="J1895" s="143"/>
    </row>
    <row r="1896" spans="1:10" x14ac:dyDescent="0.25">
      <c r="A1896" s="373">
        <v>161</v>
      </c>
      <c r="B1896" s="374">
        <f>SPRRAS!C59</f>
        <v>47</v>
      </c>
      <c r="C1896" s="381">
        <f>SPRRAS!D59</f>
        <v>0</v>
      </c>
      <c r="D1896" s="381">
        <f>SPRRAS!E59</f>
        <v>0</v>
      </c>
      <c r="E1896" s="381"/>
      <c r="F1896" s="381"/>
      <c r="G1896" s="375">
        <f t="shared" si="71"/>
        <v>0</v>
      </c>
      <c r="H1896" s="375">
        <f t="shared" si="72"/>
        <v>0</v>
      </c>
      <c r="I1896" s="376"/>
      <c r="J1896" s="143"/>
    </row>
    <row r="1897" spans="1:10" x14ac:dyDescent="0.25">
      <c r="A1897" s="373">
        <v>161</v>
      </c>
      <c r="B1897" s="374">
        <f>SPRRAS!C60</f>
        <v>48</v>
      </c>
      <c r="C1897" s="381">
        <f>SPRRAS!D60</f>
        <v>0</v>
      </c>
      <c r="D1897" s="381">
        <f>SPRRAS!E60</f>
        <v>0</v>
      </c>
      <c r="E1897" s="381"/>
      <c r="F1897" s="381"/>
      <c r="G1897" s="375">
        <f t="shared" si="71"/>
        <v>0</v>
      </c>
      <c r="H1897" s="375">
        <f t="shared" si="72"/>
        <v>0</v>
      </c>
      <c r="I1897" s="376"/>
      <c r="J1897" s="143"/>
    </row>
    <row r="1898" spans="1:10" x14ac:dyDescent="0.25">
      <c r="A1898" s="373">
        <v>161</v>
      </c>
      <c r="B1898" s="374">
        <f>SPRRAS!C61</f>
        <v>49</v>
      </c>
      <c r="C1898" s="381">
        <f>SPRRAS!D61</f>
        <v>0</v>
      </c>
      <c r="D1898" s="381">
        <f>SPRRAS!E61</f>
        <v>0</v>
      </c>
      <c r="E1898" s="381"/>
      <c r="F1898" s="381"/>
      <c r="G1898" s="375">
        <f t="shared" si="71"/>
        <v>0</v>
      </c>
      <c r="H1898" s="375">
        <f t="shared" si="72"/>
        <v>0</v>
      </c>
      <c r="I1898" s="376"/>
      <c r="J1898" s="143"/>
    </row>
    <row r="1899" spans="1:10" x14ac:dyDescent="0.25">
      <c r="A1899" s="373">
        <v>161</v>
      </c>
      <c r="B1899" s="374">
        <f>SPRRAS!C62</f>
        <v>50</v>
      </c>
      <c r="C1899" s="381">
        <f>SPRRAS!D62</f>
        <v>0</v>
      </c>
      <c r="D1899" s="381">
        <f>SPRRAS!E62</f>
        <v>0</v>
      </c>
      <c r="E1899" s="381"/>
      <c r="F1899" s="381"/>
      <c r="G1899" s="375">
        <f t="shared" si="71"/>
        <v>0</v>
      </c>
      <c r="H1899" s="375">
        <f t="shared" si="72"/>
        <v>0</v>
      </c>
      <c r="I1899" s="376"/>
      <c r="J1899" s="143"/>
    </row>
    <row r="1900" spans="1:10" x14ac:dyDescent="0.25">
      <c r="A1900" s="373">
        <v>161</v>
      </c>
      <c r="B1900" s="374">
        <f>SPRRAS!C63</f>
        <v>51</v>
      </c>
      <c r="C1900" s="381">
        <f>SPRRAS!D63</f>
        <v>0</v>
      </c>
      <c r="D1900" s="381">
        <f>SPRRAS!E63</f>
        <v>0</v>
      </c>
      <c r="E1900" s="381"/>
      <c r="F1900" s="381"/>
      <c r="G1900" s="375">
        <f t="shared" si="71"/>
        <v>0</v>
      </c>
      <c r="H1900" s="375">
        <f t="shared" si="72"/>
        <v>0</v>
      </c>
      <c r="I1900" s="376"/>
      <c r="J1900" s="143"/>
    </row>
    <row r="1901" spans="1:10" x14ac:dyDescent="0.25">
      <c r="A1901" s="373">
        <v>161</v>
      </c>
      <c r="B1901" s="374">
        <f>SPRRAS!C64</f>
        <v>52</v>
      </c>
      <c r="C1901" s="381">
        <f>SPRRAS!D64</f>
        <v>0</v>
      </c>
      <c r="D1901" s="381">
        <f>SPRRAS!E64</f>
        <v>0</v>
      </c>
      <c r="E1901" s="381"/>
      <c r="F1901" s="381"/>
      <c r="G1901" s="375">
        <f t="shared" si="71"/>
        <v>0</v>
      </c>
      <c r="H1901" s="375">
        <f t="shared" si="72"/>
        <v>0</v>
      </c>
      <c r="I1901" s="376"/>
      <c r="J1901" s="143"/>
    </row>
    <row r="1902" spans="1:10" x14ac:dyDescent="0.25">
      <c r="A1902" s="373">
        <v>161</v>
      </c>
      <c r="B1902" s="374">
        <f>SPRRAS!C65</f>
        <v>53</v>
      </c>
      <c r="C1902" s="381">
        <f>SPRRAS!D65</f>
        <v>0</v>
      </c>
      <c r="D1902" s="381">
        <f>SPRRAS!E65</f>
        <v>0</v>
      </c>
      <c r="E1902" s="381"/>
      <c r="F1902" s="381"/>
      <c r="G1902" s="375">
        <f t="shared" si="71"/>
        <v>0</v>
      </c>
      <c r="H1902" s="375">
        <f t="shared" si="72"/>
        <v>0</v>
      </c>
      <c r="I1902" s="376"/>
      <c r="J1902" s="143"/>
    </row>
    <row r="1903" spans="1:10" x14ac:dyDescent="0.25">
      <c r="A1903" s="373">
        <v>161</v>
      </c>
      <c r="B1903" s="374">
        <f>SPRRAS!C66</f>
        <v>54</v>
      </c>
      <c r="C1903" s="381">
        <f>SPRRAS!D66</f>
        <v>0</v>
      </c>
      <c r="D1903" s="381">
        <f>SPRRAS!E66</f>
        <v>0</v>
      </c>
      <c r="E1903" s="381"/>
      <c r="F1903" s="381"/>
      <c r="G1903" s="375">
        <f t="shared" si="71"/>
        <v>0</v>
      </c>
      <c r="H1903" s="375">
        <f t="shared" si="72"/>
        <v>0</v>
      </c>
      <c r="I1903" s="376"/>
      <c r="J1903" s="143"/>
    </row>
    <row r="1904" spans="1:10" x14ac:dyDescent="0.25">
      <c r="A1904" s="373">
        <v>161</v>
      </c>
      <c r="B1904" s="374">
        <f>SPRRAS!C67</f>
        <v>55</v>
      </c>
      <c r="C1904" s="381">
        <f>SPRRAS!D67</f>
        <v>0</v>
      </c>
      <c r="D1904" s="381">
        <f>SPRRAS!E67</f>
        <v>0</v>
      </c>
      <c r="E1904" s="381"/>
      <c r="F1904" s="381"/>
      <c r="G1904" s="375">
        <f t="shared" si="71"/>
        <v>0</v>
      </c>
      <c r="H1904" s="375">
        <f t="shared" si="72"/>
        <v>0</v>
      </c>
      <c r="I1904" s="376"/>
      <c r="J1904" s="143"/>
    </row>
    <row r="1905" spans="1:10" x14ac:dyDescent="0.25">
      <c r="A1905" s="373">
        <v>161</v>
      </c>
      <c r="B1905" s="374">
        <f>SPRRAS!C68</f>
        <v>56</v>
      </c>
      <c r="C1905" s="381">
        <f>SPRRAS!D68</f>
        <v>0</v>
      </c>
      <c r="D1905" s="381">
        <f>SPRRAS!E68</f>
        <v>0</v>
      </c>
      <c r="E1905" s="381"/>
      <c r="F1905" s="381"/>
      <c r="G1905" s="375">
        <f t="shared" si="71"/>
        <v>0</v>
      </c>
      <c r="H1905" s="375">
        <f t="shared" si="72"/>
        <v>0</v>
      </c>
      <c r="I1905" s="376"/>
      <c r="J1905" s="143"/>
    </row>
    <row r="1906" spans="1:10" x14ac:dyDescent="0.25">
      <c r="A1906" s="373">
        <v>161</v>
      </c>
      <c r="B1906" s="374">
        <f>SPRRAS!C69</f>
        <v>57</v>
      </c>
      <c r="C1906" s="381">
        <f>SPRRAS!D69</f>
        <v>0</v>
      </c>
      <c r="D1906" s="381">
        <f>SPRRAS!E69</f>
        <v>0</v>
      </c>
      <c r="E1906" s="381"/>
      <c r="F1906" s="381"/>
      <c r="G1906" s="375">
        <f t="shared" si="71"/>
        <v>0</v>
      </c>
      <c r="H1906" s="375">
        <f t="shared" si="72"/>
        <v>0</v>
      </c>
      <c r="I1906" s="376"/>
      <c r="J1906" s="143"/>
    </row>
    <row r="1907" spans="1:10" x14ac:dyDescent="0.25">
      <c r="A1907" s="373">
        <v>161</v>
      </c>
      <c r="B1907" s="374">
        <f>SPRRAS!C70</f>
        <v>58</v>
      </c>
      <c r="C1907" s="381">
        <f>SPRRAS!D70</f>
        <v>0</v>
      </c>
      <c r="D1907" s="381">
        <f>SPRRAS!E70</f>
        <v>0</v>
      </c>
      <c r="E1907" s="381"/>
      <c r="F1907" s="381"/>
      <c r="G1907" s="375">
        <f t="shared" si="71"/>
        <v>0</v>
      </c>
      <c r="H1907" s="375">
        <f t="shared" si="72"/>
        <v>0</v>
      </c>
      <c r="I1907" s="376"/>
      <c r="J1907" s="143"/>
    </row>
    <row r="1908" spans="1:10" x14ac:dyDescent="0.25">
      <c r="A1908" s="373">
        <v>161</v>
      </c>
      <c r="B1908" s="374">
        <f>SPRRAS!C71</f>
        <v>59</v>
      </c>
      <c r="C1908" s="381">
        <f>SPRRAS!D71</f>
        <v>0</v>
      </c>
      <c r="D1908" s="381">
        <f>SPRRAS!E71</f>
        <v>0</v>
      </c>
      <c r="E1908" s="381"/>
      <c r="F1908" s="381"/>
      <c r="G1908" s="375">
        <f t="shared" si="71"/>
        <v>0</v>
      </c>
      <c r="H1908" s="375">
        <f t="shared" si="72"/>
        <v>0</v>
      </c>
      <c r="I1908" s="376"/>
      <c r="J1908" s="143"/>
    </row>
    <row r="1909" spans="1:10" x14ac:dyDescent="0.25">
      <c r="A1909" s="373">
        <v>161</v>
      </c>
      <c r="B1909" s="374">
        <f>SPRRAS!C72</f>
        <v>60</v>
      </c>
      <c r="C1909" s="381">
        <f>SPRRAS!D72</f>
        <v>0</v>
      </c>
      <c r="D1909" s="381">
        <f>SPRRAS!E72</f>
        <v>0</v>
      </c>
      <c r="E1909" s="381"/>
      <c r="F1909" s="381"/>
      <c r="G1909" s="375">
        <f t="shared" si="71"/>
        <v>0</v>
      </c>
      <c r="H1909" s="375">
        <f t="shared" si="72"/>
        <v>0</v>
      </c>
      <c r="I1909" s="376"/>
      <c r="J1909" s="143"/>
    </row>
    <row r="1910" spans="1:10" x14ac:dyDescent="0.25">
      <c r="A1910" s="373">
        <v>161</v>
      </c>
      <c r="B1910" s="374">
        <f>SPRRAS!C73</f>
        <v>61</v>
      </c>
      <c r="C1910" s="381">
        <f>SPRRAS!D73</f>
        <v>0</v>
      </c>
      <c r="D1910" s="381">
        <f>SPRRAS!E73</f>
        <v>0</v>
      </c>
      <c r="E1910" s="381"/>
      <c r="F1910" s="381"/>
      <c r="G1910" s="375">
        <f t="shared" si="71"/>
        <v>0</v>
      </c>
      <c r="H1910" s="375">
        <f t="shared" si="72"/>
        <v>0</v>
      </c>
      <c r="I1910" s="376"/>
      <c r="J1910" s="143"/>
    </row>
    <row r="1911" spans="1:10" x14ac:dyDescent="0.25">
      <c r="A1911" s="373">
        <v>161</v>
      </c>
      <c r="B1911" s="374">
        <f>SPRRAS!C74</f>
        <v>62</v>
      </c>
      <c r="C1911" s="381">
        <f>SPRRAS!D74</f>
        <v>0</v>
      </c>
      <c r="D1911" s="381">
        <f>SPRRAS!E74</f>
        <v>0</v>
      </c>
      <c r="E1911" s="381"/>
      <c r="F1911" s="381"/>
      <c r="G1911" s="375">
        <f t="shared" si="71"/>
        <v>0</v>
      </c>
      <c r="H1911" s="375">
        <f t="shared" si="72"/>
        <v>0</v>
      </c>
      <c r="I1911" s="376"/>
      <c r="J1911" s="143"/>
    </row>
    <row r="1912" spans="1:10" x14ac:dyDescent="0.25">
      <c r="A1912" s="373">
        <v>161</v>
      </c>
      <c r="B1912" s="374">
        <f>SPRRAS!C75</f>
        <v>63</v>
      </c>
      <c r="C1912" s="381">
        <f>SPRRAS!D75</f>
        <v>0</v>
      </c>
      <c r="D1912" s="381">
        <f>SPRRAS!E75</f>
        <v>0</v>
      </c>
      <c r="E1912" s="381"/>
      <c r="F1912" s="381"/>
      <c r="G1912" s="375">
        <f t="shared" si="71"/>
        <v>0</v>
      </c>
      <c r="H1912" s="375">
        <f t="shared" si="72"/>
        <v>0</v>
      </c>
      <c r="I1912" s="376"/>
      <c r="J1912" s="143"/>
    </row>
    <row r="1913" spans="1:10" x14ac:dyDescent="0.25">
      <c r="A1913" s="373">
        <v>161</v>
      </c>
      <c r="B1913" s="374">
        <f>SPRRAS!C76</f>
        <v>64</v>
      </c>
      <c r="C1913" s="381">
        <f>SPRRAS!D76</f>
        <v>0</v>
      </c>
      <c r="D1913" s="381">
        <f>SPRRAS!E76</f>
        <v>0</v>
      </c>
      <c r="E1913" s="381"/>
      <c r="F1913" s="381"/>
      <c r="G1913" s="375">
        <f t="shared" si="71"/>
        <v>0</v>
      </c>
      <c r="H1913" s="375">
        <f t="shared" si="72"/>
        <v>0</v>
      </c>
      <c r="I1913" s="376"/>
      <c r="J1913" s="143"/>
    </row>
    <row r="1914" spans="1:10" x14ac:dyDescent="0.25">
      <c r="A1914" s="373">
        <v>161</v>
      </c>
      <c r="B1914" s="374">
        <f>SPRRAS!C77</f>
        <v>65</v>
      </c>
      <c r="C1914" s="381">
        <f>SPRRAS!D77</f>
        <v>0</v>
      </c>
      <c r="D1914" s="381">
        <f>SPRRAS!E77</f>
        <v>0</v>
      </c>
      <c r="E1914" s="381"/>
      <c r="F1914" s="381"/>
      <c r="G1914" s="375">
        <f t="shared" si="71"/>
        <v>0</v>
      </c>
      <c r="H1914" s="375">
        <f t="shared" si="72"/>
        <v>0</v>
      </c>
      <c r="I1914" s="376"/>
      <c r="J1914" s="143"/>
    </row>
    <row r="1915" spans="1:10" x14ac:dyDescent="0.25">
      <c r="A1915" s="373">
        <v>161</v>
      </c>
      <c r="B1915" s="374">
        <f>SPRRAS!C78</f>
        <v>66</v>
      </c>
      <c r="C1915" s="381">
        <f>SPRRAS!D78</f>
        <v>0</v>
      </c>
      <c r="D1915" s="381">
        <f>SPRRAS!E78</f>
        <v>0</v>
      </c>
      <c r="E1915" s="381"/>
      <c r="F1915" s="381"/>
      <c r="G1915" s="375">
        <f t="shared" si="71"/>
        <v>0</v>
      </c>
      <c r="H1915" s="375">
        <f t="shared" si="72"/>
        <v>0</v>
      </c>
      <c r="I1915" s="376"/>
      <c r="J1915" s="143"/>
    </row>
    <row r="1916" spans="1:10" x14ac:dyDescent="0.25">
      <c r="A1916" s="373">
        <v>161</v>
      </c>
      <c r="B1916" s="374">
        <f>SPRRAS!C79</f>
        <v>67</v>
      </c>
      <c r="C1916" s="381">
        <f>SPRRAS!D79</f>
        <v>0</v>
      </c>
      <c r="D1916" s="381">
        <f>SPRRAS!E79</f>
        <v>0</v>
      </c>
      <c r="E1916" s="381"/>
      <c r="F1916" s="381"/>
      <c r="G1916" s="375">
        <f t="shared" ref="G1916:G1935" si="73">B1916/1000*C1916+B1916/500*D1916</f>
        <v>0</v>
      </c>
      <c r="H1916" s="375">
        <f t="shared" ref="H1916:H1935" si="74">ABS(C1916-ROUND(C1916,0))+ABS(D1916-ROUND(D1916,0))</f>
        <v>0</v>
      </c>
      <c r="I1916" s="376"/>
      <c r="J1916" s="143"/>
    </row>
    <row r="1917" spans="1:10" x14ac:dyDescent="0.25">
      <c r="A1917" s="373">
        <v>161</v>
      </c>
      <c r="B1917" s="374">
        <f>SPRRAS!C80</f>
        <v>68</v>
      </c>
      <c r="C1917" s="381">
        <f>SPRRAS!D80</f>
        <v>0</v>
      </c>
      <c r="D1917" s="381">
        <f>SPRRAS!E80</f>
        <v>0</v>
      </c>
      <c r="E1917" s="381"/>
      <c r="F1917" s="381"/>
      <c r="G1917" s="375">
        <f t="shared" si="73"/>
        <v>0</v>
      </c>
      <c r="H1917" s="375">
        <f t="shared" si="74"/>
        <v>0</v>
      </c>
      <c r="I1917" s="376"/>
      <c r="J1917" s="143"/>
    </row>
    <row r="1918" spans="1:10" x14ac:dyDescent="0.25">
      <c r="A1918" s="373">
        <v>161</v>
      </c>
      <c r="B1918" s="374">
        <f>SPRRAS!C81</f>
        <v>69</v>
      </c>
      <c r="C1918" s="381">
        <f>SPRRAS!D81</f>
        <v>0</v>
      </c>
      <c r="D1918" s="381">
        <f>SPRRAS!E81</f>
        <v>0</v>
      </c>
      <c r="E1918" s="381"/>
      <c r="F1918" s="381"/>
      <c r="G1918" s="375">
        <f t="shared" si="73"/>
        <v>0</v>
      </c>
      <c r="H1918" s="375">
        <f t="shared" si="74"/>
        <v>0</v>
      </c>
      <c r="I1918" s="376"/>
      <c r="J1918" s="143"/>
    </row>
    <row r="1919" spans="1:10" x14ac:dyDescent="0.25">
      <c r="A1919" s="373">
        <v>161</v>
      </c>
      <c r="B1919" s="374">
        <f>SPRRAS!C82</f>
        <v>70</v>
      </c>
      <c r="C1919" s="381">
        <f>SPRRAS!D82</f>
        <v>0</v>
      </c>
      <c r="D1919" s="381">
        <f>SPRRAS!E82</f>
        <v>0</v>
      </c>
      <c r="E1919" s="381"/>
      <c r="F1919" s="381"/>
      <c r="G1919" s="375">
        <f t="shared" si="73"/>
        <v>0</v>
      </c>
      <c r="H1919" s="375">
        <f t="shared" si="74"/>
        <v>0</v>
      </c>
      <c r="I1919" s="376"/>
      <c r="J1919" s="143"/>
    </row>
    <row r="1920" spans="1:10" x14ac:dyDescent="0.25">
      <c r="A1920" s="373">
        <v>161</v>
      </c>
      <c r="B1920" s="374">
        <f>SPRRAS!C83</f>
        <v>71</v>
      </c>
      <c r="C1920" s="381">
        <f>SPRRAS!D83</f>
        <v>0</v>
      </c>
      <c r="D1920" s="381">
        <f>SPRRAS!E83</f>
        <v>0</v>
      </c>
      <c r="E1920" s="381"/>
      <c r="F1920" s="381"/>
      <c r="G1920" s="375">
        <f t="shared" si="73"/>
        <v>0</v>
      </c>
      <c r="H1920" s="375">
        <f t="shared" si="74"/>
        <v>0</v>
      </c>
      <c r="I1920" s="376"/>
      <c r="J1920" s="143"/>
    </row>
    <row r="1921" spans="1:10" x14ac:dyDescent="0.25">
      <c r="A1921" s="373">
        <v>161</v>
      </c>
      <c r="B1921" s="374">
        <f>SPRRAS!C84</f>
        <v>72</v>
      </c>
      <c r="C1921" s="381">
        <f>SPRRAS!D84</f>
        <v>0</v>
      </c>
      <c r="D1921" s="381">
        <f>SPRRAS!E84</f>
        <v>0</v>
      </c>
      <c r="E1921" s="381"/>
      <c r="F1921" s="381"/>
      <c r="G1921" s="375">
        <f t="shared" si="73"/>
        <v>0</v>
      </c>
      <c r="H1921" s="375">
        <f t="shared" si="74"/>
        <v>0</v>
      </c>
      <c r="I1921" s="376"/>
      <c r="J1921" s="143"/>
    </row>
    <row r="1922" spans="1:10" x14ac:dyDescent="0.25">
      <c r="A1922" s="373">
        <v>161</v>
      </c>
      <c r="B1922" s="374">
        <f>SPRRAS!C85</f>
        <v>73</v>
      </c>
      <c r="C1922" s="381">
        <f>SPRRAS!D85</f>
        <v>0</v>
      </c>
      <c r="D1922" s="381">
        <f>SPRRAS!E85</f>
        <v>0</v>
      </c>
      <c r="E1922" s="381"/>
      <c r="F1922" s="381"/>
      <c r="G1922" s="375">
        <f t="shared" si="73"/>
        <v>0</v>
      </c>
      <c r="H1922" s="375">
        <f t="shared" si="74"/>
        <v>0</v>
      </c>
      <c r="I1922" s="376"/>
      <c r="J1922" s="143"/>
    </row>
    <row r="1923" spans="1:10" x14ac:dyDescent="0.25">
      <c r="A1923" s="373">
        <v>161</v>
      </c>
      <c r="B1923" s="374">
        <f>SPRRAS!C86</f>
        <v>74</v>
      </c>
      <c r="C1923" s="381">
        <f>SPRRAS!D86</f>
        <v>0</v>
      </c>
      <c r="D1923" s="381">
        <f>SPRRAS!E86</f>
        <v>0</v>
      </c>
      <c r="E1923" s="381"/>
      <c r="F1923" s="381"/>
      <c r="G1923" s="375">
        <f t="shared" si="73"/>
        <v>0</v>
      </c>
      <c r="H1923" s="375">
        <f t="shared" si="74"/>
        <v>0</v>
      </c>
      <c r="I1923" s="376"/>
      <c r="J1923" s="143"/>
    </row>
    <row r="1924" spans="1:10" x14ac:dyDescent="0.25">
      <c r="A1924" s="373">
        <v>161</v>
      </c>
      <c r="B1924" s="374">
        <f>SPRRAS!C87</f>
        <v>75</v>
      </c>
      <c r="C1924" s="381">
        <f>SPRRAS!D87</f>
        <v>0</v>
      </c>
      <c r="D1924" s="381">
        <f>SPRRAS!E87</f>
        <v>0</v>
      </c>
      <c r="E1924" s="381"/>
      <c r="F1924" s="381"/>
      <c r="G1924" s="375">
        <f t="shared" si="73"/>
        <v>0</v>
      </c>
      <c r="H1924" s="375">
        <f t="shared" si="74"/>
        <v>0</v>
      </c>
      <c r="I1924" s="376"/>
      <c r="J1924" s="143"/>
    </row>
    <row r="1925" spans="1:10" x14ac:dyDescent="0.25">
      <c r="A1925" s="373">
        <v>161</v>
      </c>
      <c r="B1925" s="374">
        <f>SPRRAS!C88</f>
        <v>76</v>
      </c>
      <c r="C1925" s="381">
        <f>SPRRAS!D88</f>
        <v>0</v>
      </c>
      <c r="D1925" s="381">
        <f>SPRRAS!E88</f>
        <v>0</v>
      </c>
      <c r="E1925" s="381"/>
      <c r="F1925" s="381"/>
      <c r="G1925" s="375">
        <f t="shared" si="73"/>
        <v>0</v>
      </c>
      <c r="H1925" s="375">
        <f t="shared" si="74"/>
        <v>0</v>
      </c>
      <c r="I1925" s="376"/>
      <c r="J1925" s="143"/>
    </row>
    <row r="1926" spans="1:10" x14ac:dyDescent="0.25">
      <c r="A1926" s="373">
        <v>161</v>
      </c>
      <c r="B1926" s="374">
        <f>SPRRAS!C89</f>
        <v>77</v>
      </c>
      <c r="C1926" s="381">
        <f>SPRRAS!D89</f>
        <v>0</v>
      </c>
      <c r="D1926" s="381">
        <f>SPRRAS!E89</f>
        <v>0</v>
      </c>
      <c r="E1926" s="381"/>
      <c r="F1926" s="381"/>
      <c r="G1926" s="375">
        <f t="shared" si="73"/>
        <v>0</v>
      </c>
      <c r="H1926" s="375">
        <f t="shared" si="74"/>
        <v>0</v>
      </c>
      <c r="I1926" s="376"/>
    </row>
    <row r="1927" spans="1:10" x14ac:dyDescent="0.25">
      <c r="A1927" s="373">
        <v>161</v>
      </c>
      <c r="B1927" s="374">
        <f>SPRRAS!C90</f>
        <v>78</v>
      </c>
      <c r="C1927" s="381">
        <f>SPRRAS!D90</f>
        <v>0</v>
      </c>
      <c r="D1927" s="381">
        <f>SPRRAS!E90</f>
        <v>0</v>
      </c>
      <c r="E1927" s="381"/>
      <c r="F1927" s="381"/>
      <c r="G1927" s="375">
        <f t="shared" si="73"/>
        <v>0</v>
      </c>
      <c r="H1927" s="375">
        <f t="shared" si="74"/>
        <v>0</v>
      </c>
      <c r="I1927" s="376"/>
    </row>
    <row r="1928" spans="1:10" x14ac:dyDescent="0.25">
      <c r="A1928" s="373">
        <v>161</v>
      </c>
      <c r="B1928" s="374">
        <f>SPRRAS!C91</f>
        <v>79</v>
      </c>
      <c r="C1928" s="381">
        <f>SPRRAS!D91</f>
        <v>0</v>
      </c>
      <c r="D1928" s="381">
        <f>SPRRAS!E91</f>
        <v>0</v>
      </c>
      <c r="E1928" s="381"/>
      <c r="F1928" s="381"/>
      <c r="G1928" s="375">
        <f t="shared" si="73"/>
        <v>0</v>
      </c>
      <c r="H1928" s="375">
        <f t="shared" si="74"/>
        <v>0</v>
      </c>
      <c r="I1928" s="376"/>
    </row>
    <row r="1929" spans="1:10" x14ac:dyDescent="0.25">
      <c r="A1929" s="373">
        <v>161</v>
      </c>
      <c r="B1929" s="374">
        <f>SPRRAS!C92</f>
        <v>80</v>
      </c>
      <c r="C1929" s="381">
        <f>SPRRAS!D92</f>
        <v>0</v>
      </c>
      <c r="D1929" s="381">
        <f>SPRRAS!E92</f>
        <v>0</v>
      </c>
      <c r="E1929" s="381"/>
      <c r="F1929" s="381"/>
      <c r="G1929" s="375">
        <f t="shared" si="73"/>
        <v>0</v>
      </c>
      <c r="H1929" s="375">
        <f t="shared" si="74"/>
        <v>0</v>
      </c>
      <c r="I1929" s="376"/>
    </row>
    <row r="1930" spans="1:10" x14ac:dyDescent="0.25">
      <c r="A1930" s="373">
        <v>161</v>
      </c>
      <c r="B1930" s="374">
        <f>SPRRAS!C93</f>
        <v>81</v>
      </c>
      <c r="C1930" s="381">
        <f>SPRRAS!D93</f>
        <v>0</v>
      </c>
      <c r="D1930" s="381">
        <f>SPRRAS!E93</f>
        <v>0</v>
      </c>
      <c r="E1930" s="381"/>
      <c r="F1930" s="381"/>
      <c r="G1930" s="375">
        <f t="shared" si="73"/>
        <v>0</v>
      </c>
      <c r="H1930" s="375">
        <f t="shared" si="74"/>
        <v>0</v>
      </c>
      <c r="I1930" s="376"/>
    </row>
    <row r="1931" spans="1:10" x14ac:dyDescent="0.25">
      <c r="A1931" s="373">
        <v>161</v>
      </c>
      <c r="B1931" s="374">
        <f>SPRRAS!C94</f>
        <v>82</v>
      </c>
      <c r="C1931" s="381">
        <f>SPRRAS!D94</f>
        <v>0</v>
      </c>
      <c r="D1931" s="381">
        <f>SPRRAS!E94</f>
        <v>0</v>
      </c>
      <c r="E1931" s="381"/>
      <c r="F1931" s="381"/>
      <c r="G1931" s="375">
        <f t="shared" si="73"/>
        <v>0</v>
      </c>
      <c r="H1931" s="375">
        <f t="shared" si="74"/>
        <v>0</v>
      </c>
      <c r="I1931" s="376"/>
    </row>
    <row r="1932" spans="1:10" x14ac:dyDescent="0.25">
      <c r="A1932" s="373">
        <v>161</v>
      </c>
      <c r="B1932" s="374">
        <f>SPRRAS!C95</f>
        <v>83</v>
      </c>
      <c r="C1932" s="381">
        <f>SPRRAS!D95</f>
        <v>0</v>
      </c>
      <c r="D1932" s="381">
        <f>SPRRAS!E95</f>
        <v>0</v>
      </c>
      <c r="E1932" s="381"/>
      <c r="F1932" s="381"/>
      <c r="G1932" s="375">
        <f t="shared" si="73"/>
        <v>0</v>
      </c>
      <c r="H1932" s="375">
        <f t="shared" si="74"/>
        <v>0</v>
      </c>
      <c r="I1932" s="376"/>
    </row>
    <row r="1933" spans="1:10" x14ac:dyDescent="0.25">
      <c r="A1933" s="373">
        <v>161</v>
      </c>
      <c r="B1933" s="374">
        <f>SPRRAS!C96</f>
        <v>84</v>
      </c>
      <c r="C1933" s="381">
        <f>SPRRAS!D96</f>
        <v>0</v>
      </c>
      <c r="D1933" s="381">
        <f>SPRRAS!E96</f>
        <v>0</v>
      </c>
      <c r="E1933" s="381"/>
      <c r="F1933" s="381"/>
      <c r="G1933" s="375">
        <f t="shared" si="73"/>
        <v>0</v>
      </c>
      <c r="H1933" s="375">
        <f t="shared" si="74"/>
        <v>0</v>
      </c>
      <c r="I1933" s="376"/>
    </row>
    <row r="1934" spans="1:10" x14ac:dyDescent="0.25">
      <c r="A1934" s="373">
        <v>161</v>
      </c>
      <c r="B1934" s="374">
        <f>SPRRAS!C97</f>
        <v>85</v>
      </c>
      <c r="C1934" s="381">
        <f>SPRRAS!D97</f>
        <v>0</v>
      </c>
      <c r="D1934" s="381">
        <f>SPRRAS!E97</f>
        <v>0</v>
      </c>
      <c r="E1934" s="381"/>
      <c r="F1934" s="381"/>
      <c r="G1934" s="375">
        <f t="shared" si="73"/>
        <v>0</v>
      </c>
      <c r="H1934" s="375">
        <f t="shared" si="74"/>
        <v>0</v>
      </c>
      <c r="I1934" s="376"/>
    </row>
    <row r="1935" spans="1:10" x14ac:dyDescent="0.25">
      <c r="A1935" s="373">
        <v>161</v>
      </c>
      <c r="B1935" s="374">
        <f>SPRRAS!C98</f>
        <v>86</v>
      </c>
      <c r="C1935" s="381">
        <f>SPRRAS!D98</f>
        <v>0</v>
      </c>
      <c r="D1935" s="381">
        <f>SPRRAS!E98</f>
        <v>0</v>
      </c>
      <c r="E1935" s="381"/>
      <c r="F1935" s="381"/>
      <c r="G1935" s="375">
        <f t="shared" si="73"/>
        <v>0</v>
      </c>
      <c r="H1935" s="375">
        <f t="shared" si="74"/>
        <v>0</v>
      </c>
      <c r="I1935" s="376"/>
    </row>
    <row r="1936" spans="1:10" x14ac:dyDescent="0.25">
      <c r="A1936" s="373">
        <v>161</v>
      </c>
      <c r="B1936" s="374">
        <f>SPRRAS!C99</f>
        <v>87</v>
      </c>
      <c r="C1936" s="381">
        <f>SPRRAS!D99</f>
        <v>0</v>
      </c>
      <c r="D1936" s="381">
        <f>SPRRAS!E99</f>
        <v>0</v>
      </c>
      <c r="E1936" s="381"/>
      <c r="F1936" s="381"/>
      <c r="G1936" s="375">
        <f t="shared" ref="G1936:G1975" si="75">B1936/1000*C1936+B1936/500*D1936</f>
        <v>0</v>
      </c>
      <c r="H1936" s="375">
        <f t="shared" ref="H1936:H1975" si="76">ABS(C1936-ROUND(C1936,0))+ABS(D1936-ROUND(D1936,0))</f>
        <v>0</v>
      </c>
      <c r="I1936" s="376"/>
    </row>
    <row r="1937" spans="1:9" x14ac:dyDescent="0.25">
      <c r="A1937" s="373">
        <v>161</v>
      </c>
      <c r="B1937" s="374">
        <f>SPRRAS!C100</f>
        <v>88</v>
      </c>
      <c r="C1937" s="381">
        <f>SPRRAS!D100</f>
        <v>0</v>
      </c>
      <c r="D1937" s="381">
        <f>SPRRAS!E100</f>
        <v>0</v>
      </c>
      <c r="E1937" s="381"/>
      <c r="F1937" s="381"/>
      <c r="G1937" s="375">
        <f t="shared" si="75"/>
        <v>0</v>
      </c>
      <c r="H1937" s="375">
        <f t="shared" si="76"/>
        <v>0</v>
      </c>
      <c r="I1937" s="376"/>
    </row>
    <row r="1938" spans="1:9" x14ac:dyDescent="0.25">
      <c r="A1938" s="373">
        <v>161</v>
      </c>
      <c r="B1938" s="374">
        <f>SPRRAS!C101</f>
        <v>89</v>
      </c>
      <c r="C1938" s="381">
        <f>SPRRAS!D101</f>
        <v>0</v>
      </c>
      <c r="D1938" s="381">
        <f>SPRRAS!E101</f>
        <v>0</v>
      </c>
      <c r="E1938" s="381"/>
      <c r="F1938" s="381"/>
      <c r="G1938" s="375">
        <f t="shared" si="75"/>
        <v>0</v>
      </c>
      <c r="H1938" s="375">
        <f t="shared" si="76"/>
        <v>0</v>
      </c>
      <c r="I1938" s="376"/>
    </row>
    <row r="1939" spans="1:9" x14ac:dyDescent="0.25">
      <c r="A1939" s="373">
        <v>161</v>
      </c>
      <c r="B1939" s="374">
        <f>SPRRAS!C102</f>
        <v>90</v>
      </c>
      <c r="C1939" s="381">
        <f>SPRRAS!D102</f>
        <v>0</v>
      </c>
      <c r="D1939" s="381">
        <f>SPRRAS!E102</f>
        <v>0</v>
      </c>
      <c r="E1939" s="381"/>
      <c r="F1939" s="381"/>
      <c r="G1939" s="375">
        <f t="shared" si="75"/>
        <v>0</v>
      </c>
      <c r="H1939" s="375">
        <f t="shared" si="76"/>
        <v>0</v>
      </c>
      <c r="I1939" s="376"/>
    </row>
    <row r="1940" spans="1:9" x14ac:dyDescent="0.25">
      <c r="A1940" s="373">
        <v>161</v>
      </c>
      <c r="B1940" s="374">
        <f>SPRRAS!C106</f>
        <v>91</v>
      </c>
      <c r="C1940" s="381">
        <f>SPRRAS!D106</f>
        <v>0</v>
      </c>
      <c r="D1940" s="381">
        <f>SPRRAS!E106</f>
        <v>0</v>
      </c>
      <c r="E1940" s="381"/>
      <c r="F1940" s="381"/>
      <c r="G1940" s="375">
        <f t="shared" si="75"/>
        <v>0</v>
      </c>
      <c r="H1940" s="375">
        <f t="shared" si="76"/>
        <v>0</v>
      </c>
      <c r="I1940" s="376"/>
    </row>
    <row r="1941" spans="1:9" x14ac:dyDescent="0.25">
      <c r="A1941" s="373">
        <v>161</v>
      </c>
      <c r="B1941" s="374">
        <f>SPRRAS!C107</f>
        <v>92</v>
      </c>
      <c r="C1941" s="381">
        <f>SPRRAS!D107</f>
        <v>0</v>
      </c>
      <c r="D1941" s="381">
        <f>SPRRAS!E107</f>
        <v>0</v>
      </c>
      <c r="E1941" s="381"/>
      <c r="F1941" s="381"/>
      <c r="G1941" s="375">
        <f t="shared" si="75"/>
        <v>0</v>
      </c>
      <c r="H1941" s="375">
        <f t="shared" si="76"/>
        <v>0</v>
      </c>
      <c r="I1941" s="376"/>
    </row>
    <row r="1942" spans="1:9" x14ac:dyDescent="0.25">
      <c r="A1942" s="373">
        <v>161</v>
      </c>
      <c r="B1942" s="374">
        <f>SPRRAS!C108</f>
        <v>93</v>
      </c>
      <c r="C1942" s="381">
        <f>SPRRAS!D108</f>
        <v>0</v>
      </c>
      <c r="D1942" s="381">
        <f>SPRRAS!E108</f>
        <v>0</v>
      </c>
      <c r="E1942" s="381"/>
      <c r="F1942" s="381"/>
      <c r="G1942" s="375">
        <f t="shared" si="75"/>
        <v>0</v>
      </c>
      <c r="H1942" s="375">
        <f t="shared" si="76"/>
        <v>0</v>
      </c>
      <c r="I1942" s="376"/>
    </row>
    <row r="1943" spans="1:9" x14ac:dyDescent="0.25">
      <c r="A1943" s="373">
        <v>161</v>
      </c>
      <c r="B1943" s="374">
        <f>SPRRAS!C109</f>
        <v>94</v>
      </c>
      <c r="C1943" s="381">
        <f>SPRRAS!D109</f>
        <v>0</v>
      </c>
      <c r="D1943" s="381">
        <f>SPRRAS!E109</f>
        <v>0</v>
      </c>
      <c r="E1943" s="381"/>
      <c r="F1943" s="381"/>
      <c r="G1943" s="375">
        <f t="shared" si="75"/>
        <v>0</v>
      </c>
      <c r="H1943" s="375">
        <f t="shared" si="76"/>
        <v>0</v>
      </c>
      <c r="I1943" s="376"/>
    </row>
    <row r="1944" spans="1:9" x14ac:dyDescent="0.25">
      <c r="A1944" s="373">
        <v>161</v>
      </c>
      <c r="B1944" s="374">
        <f>SPRRAS!C110</f>
        <v>95</v>
      </c>
      <c r="C1944" s="381">
        <f>SPRRAS!D110</f>
        <v>0</v>
      </c>
      <c r="D1944" s="381">
        <f>SPRRAS!E110</f>
        <v>0</v>
      </c>
      <c r="E1944" s="381"/>
      <c r="F1944" s="381"/>
      <c r="G1944" s="375">
        <f t="shared" si="75"/>
        <v>0</v>
      </c>
      <c r="H1944" s="375">
        <f t="shared" si="76"/>
        <v>0</v>
      </c>
      <c r="I1944" s="376"/>
    </row>
    <row r="1945" spans="1:9" x14ac:dyDescent="0.25">
      <c r="A1945" s="373">
        <v>161</v>
      </c>
      <c r="B1945" s="374">
        <f>SPRRAS!C111</f>
        <v>96</v>
      </c>
      <c r="C1945" s="381">
        <f>SPRRAS!D111</f>
        <v>0</v>
      </c>
      <c r="D1945" s="381">
        <f>SPRRAS!E111</f>
        <v>0</v>
      </c>
      <c r="E1945" s="381"/>
      <c r="F1945" s="381"/>
      <c r="G1945" s="375">
        <f t="shared" si="75"/>
        <v>0</v>
      </c>
      <c r="H1945" s="375">
        <f t="shared" si="76"/>
        <v>0</v>
      </c>
      <c r="I1945" s="376"/>
    </row>
    <row r="1946" spans="1:9" x14ac:dyDescent="0.25">
      <c r="A1946" s="373">
        <v>161</v>
      </c>
      <c r="B1946" s="374">
        <f>SPRRAS!C112</f>
        <v>97</v>
      </c>
      <c r="C1946" s="381">
        <f>SPRRAS!D112</f>
        <v>0</v>
      </c>
      <c r="D1946" s="381">
        <f>SPRRAS!E112</f>
        <v>0</v>
      </c>
      <c r="E1946" s="381"/>
      <c r="F1946" s="381"/>
      <c r="G1946" s="375">
        <f t="shared" si="75"/>
        <v>0</v>
      </c>
      <c r="H1946" s="375">
        <f t="shared" si="76"/>
        <v>0</v>
      </c>
      <c r="I1946" s="376"/>
    </row>
    <row r="1947" spans="1:9" x14ac:dyDescent="0.25">
      <c r="A1947" s="373">
        <v>161</v>
      </c>
      <c r="B1947" s="374">
        <f>SPRRAS!C113</f>
        <v>98</v>
      </c>
      <c r="C1947" s="381">
        <f>SPRRAS!D113</f>
        <v>0</v>
      </c>
      <c r="D1947" s="381">
        <f>SPRRAS!E113</f>
        <v>0</v>
      </c>
      <c r="E1947" s="381"/>
      <c r="F1947" s="381"/>
      <c r="G1947" s="375">
        <f t="shared" si="75"/>
        <v>0</v>
      </c>
      <c r="H1947" s="375">
        <f t="shared" si="76"/>
        <v>0</v>
      </c>
      <c r="I1947" s="376"/>
    </row>
    <row r="1948" spans="1:9" x14ac:dyDescent="0.25">
      <c r="A1948" s="373">
        <v>161</v>
      </c>
      <c r="B1948" s="374">
        <f>SPRRAS!C114</f>
        <v>99</v>
      </c>
      <c r="C1948" s="381">
        <f>SPRRAS!D114</f>
        <v>0</v>
      </c>
      <c r="D1948" s="381">
        <f>SPRRAS!E114</f>
        <v>0</v>
      </c>
      <c r="E1948" s="381"/>
      <c r="F1948" s="381"/>
      <c r="G1948" s="375">
        <f t="shared" si="75"/>
        <v>0</v>
      </c>
      <c r="H1948" s="375">
        <f t="shared" si="76"/>
        <v>0</v>
      </c>
      <c r="I1948" s="376"/>
    </row>
    <row r="1949" spans="1:9" x14ac:dyDescent="0.25">
      <c r="A1949" s="373">
        <v>161</v>
      </c>
      <c r="B1949" s="374">
        <f>SPRRAS!C115</f>
        <v>100</v>
      </c>
      <c r="C1949" s="381">
        <f>SPRRAS!D115</f>
        <v>0</v>
      </c>
      <c r="D1949" s="381">
        <f>SPRRAS!E115</f>
        <v>0</v>
      </c>
      <c r="E1949" s="381"/>
      <c r="F1949" s="381"/>
      <c r="G1949" s="375">
        <f t="shared" si="75"/>
        <v>0</v>
      </c>
      <c r="H1949" s="375">
        <f t="shared" si="76"/>
        <v>0</v>
      </c>
      <c r="I1949" s="376"/>
    </row>
    <row r="1950" spans="1:9" x14ac:dyDescent="0.25">
      <c r="A1950" s="373">
        <v>161</v>
      </c>
      <c r="B1950" s="374">
        <f>SPRRAS!C116</f>
        <v>101</v>
      </c>
      <c r="C1950" s="381">
        <f>SPRRAS!D116</f>
        <v>0</v>
      </c>
      <c r="D1950" s="381">
        <f>SPRRAS!E116</f>
        <v>0</v>
      </c>
      <c r="E1950" s="381"/>
      <c r="F1950" s="381"/>
      <c r="G1950" s="375">
        <f t="shared" si="75"/>
        <v>0</v>
      </c>
      <c r="H1950" s="375">
        <f t="shared" si="76"/>
        <v>0</v>
      </c>
      <c r="I1950" s="376"/>
    </row>
    <row r="1951" spans="1:9" x14ac:dyDescent="0.25">
      <c r="A1951" s="373">
        <v>161</v>
      </c>
      <c r="B1951" s="374">
        <f>SPRRAS!C117</f>
        <v>102</v>
      </c>
      <c r="C1951" s="381">
        <f>SPRRAS!D117</f>
        <v>0</v>
      </c>
      <c r="D1951" s="381">
        <f>SPRRAS!E117</f>
        <v>0</v>
      </c>
      <c r="E1951" s="381"/>
      <c r="F1951" s="381"/>
      <c r="G1951" s="375">
        <f t="shared" si="75"/>
        <v>0</v>
      </c>
      <c r="H1951" s="375">
        <f t="shared" si="76"/>
        <v>0</v>
      </c>
      <c r="I1951" s="376"/>
    </row>
    <row r="1952" spans="1:9" x14ac:dyDescent="0.25">
      <c r="A1952" s="373">
        <v>161</v>
      </c>
      <c r="B1952" s="374">
        <f>SPRRAS!C118</f>
        <v>103</v>
      </c>
      <c r="C1952" s="381">
        <f>SPRRAS!D118</f>
        <v>0</v>
      </c>
      <c r="D1952" s="381">
        <f>SPRRAS!E118</f>
        <v>0</v>
      </c>
      <c r="E1952" s="381"/>
      <c r="F1952" s="381"/>
      <c r="G1952" s="375">
        <f t="shared" si="75"/>
        <v>0</v>
      </c>
      <c r="H1952" s="375">
        <f t="shared" si="76"/>
        <v>0</v>
      </c>
      <c r="I1952" s="376"/>
    </row>
    <row r="1953" spans="1:9" x14ac:dyDescent="0.25">
      <c r="A1953" s="373">
        <v>161</v>
      </c>
      <c r="B1953" s="374">
        <f>SPRRAS!C119</f>
        <v>104</v>
      </c>
      <c r="C1953" s="381">
        <f>SPRRAS!D119</f>
        <v>0</v>
      </c>
      <c r="D1953" s="381">
        <f>SPRRAS!E119</f>
        <v>0</v>
      </c>
      <c r="E1953" s="381"/>
      <c r="F1953" s="381"/>
      <c r="G1953" s="375">
        <f t="shared" si="75"/>
        <v>0</v>
      </c>
      <c r="H1953" s="375">
        <f t="shared" si="76"/>
        <v>0</v>
      </c>
      <c r="I1953" s="376"/>
    </row>
    <row r="1954" spans="1:9" x14ac:dyDescent="0.25">
      <c r="A1954" s="373">
        <v>161</v>
      </c>
      <c r="B1954" s="374">
        <f>SPRRAS!C120</f>
        <v>105</v>
      </c>
      <c r="C1954" s="381">
        <f>SPRRAS!D120</f>
        <v>0</v>
      </c>
      <c r="D1954" s="381">
        <f>SPRRAS!E120</f>
        <v>0</v>
      </c>
      <c r="E1954" s="381"/>
      <c r="F1954" s="381"/>
      <c r="G1954" s="375">
        <f t="shared" si="75"/>
        <v>0</v>
      </c>
      <c r="H1954" s="375">
        <f t="shared" si="76"/>
        <v>0</v>
      </c>
      <c r="I1954" s="376"/>
    </row>
    <row r="1955" spans="1:9" x14ac:dyDescent="0.25">
      <c r="A1955" s="373">
        <v>161</v>
      </c>
      <c r="B1955" s="374">
        <f>SPRRAS!C121</f>
        <v>106</v>
      </c>
      <c r="C1955" s="381">
        <f>SPRRAS!D121</f>
        <v>0</v>
      </c>
      <c r="D1955" s="381">
        <f>SPRRAS!E121</f>
        <v>0</v>
      </c>
      <c r="E1955" s="381"/>
      <c r="F1955" s="381"/>
      <c r="G1955" s="375">
        <f t="shared" si="75"/>
        <v>0</v>
      </c>
      <c r="H1955" s="375">
        <f t="shared" si="76"/>
        <v>0</v>
      </c>
      <c r="I1955" s="376"/>
    </row>
    <row r="1956" spans="1:9" x14ac:dyDescent="0.25">
      <c r="A1956" s="373">
        <v>161</v>
      </c>
      <c r="B1956" s="374">
        <f>SPRRAS!C122</f>
        <v>107</v>
      </c>
      <c r="C1956" s="381">
        <f>SPRRAS!D122</f>
        <v>0</v>
      </c>
      <c r="D1956" s="381">
        <f>SPRRAS!E122</f>
        <v>0</v>
      </c>
      <c r="E1956" s="381"/>
      <c r="F1956" s="381"/>
      <c r="G1956" s="375">
        <f t="shared" si="75"/>
        <v>0</v>
      </c>
      <c r="H1956" s="375">
        <f t="shared" si="76"/>
        <v>0</v>
      </c>
      <c r="I1956" s="376"/>
    </row>
    <row r="1957" spans="1:9" x14ac:dyDescent="0.25">
      <c r="A1957" s="373">
        <v>161</v>
      </c>
      <c r="B1957" s="374">
        <f>SPRRAS!C123</f>
        <v>108</v>
      </c>
      <c r="C1957" s="381">
        <f>SPRRAS!D123</f>
        <v>0</v>
      </c>
      <c r="D1957" s="381">
        <f>SPRRAS!E123</f>
        <v>0</v>
      </c>
      <c r="E1957" s="381"/>
      <c r="F1957" s="381"/>
      <c r="G1957" s="375">
        <f t="shared" si="75"/>
        <v>0</v>
      </c>
      <c r="H1957" s="375">
        <f t="shared" si="76"/>
        <v>0</v>
      </c>
      <c r="I1957" s="376"/>
    </row>
    <row r="1958" spans="1:9" x14ac:dyDescent="0.25">
      <c r="A1958" s="373">
        <v>161</v>
      </c>
      <c r="B1958" s="374">
        <f>SPRRAS!C124</f>
        <v>109</v>
      </c>
      <c r="C1958" s="381">
        <f>SPRRAS!D124</f>
        <v>0</v>
      </c>
      <c r="D1958" s="381">
        <f>SPRRAS!E124</f>
        <v>0</v>
      </c>
      <c r="E1958" s="381"/>
      <c r="F1958" s="381"/>
      <c r="G1958" s="375">
        <f t="shared" si="75"/>
        <v>0</v>
      </c>
      <c r="H1958" s="375">
        <f t="shared" si="76"/>
        <v>0</v>
      </c>
      <c r="I1958" s="376"/>
    </row>
    <row r="1959" spans="1:9" x14ac:dyDescent="0.25">
      <c r="A1959" s="373">
        <v>161</v>
      </c>
      <c r="B1959" s="374">
        <f>SPRRAS!C125</f>
        <v>110</v>
      </c>
      <c r="C1959" s="381">
        <f>SPRRAS!D125</f>
        <v>0</v>
      </c>
      <c r="D1959" s="381">
        <f>SPRRAS!E125</f>
        <v>0</v>
      </c>
      <c r="E1959" s="381"/>
      <c r="F1959" s="381"/>
      <c r="G1959" s="375">
        <f t="shared" si="75"/>
        <v>0</v>
      </c>
      <c r="H1959" s="375">
        <f t="shared" si="76"/>
        <v>0</v>
      </c>
      <c r="I1959" s="376"/>
    </row>
    <row r="1960" spans="1:9" x14ac:dyDescent="0.25">
      <c r="A1960" s="373">
        <v>161</v>
      </c>
      <c r="B1960" s="374">
        <f>SPRRAS!C126</f>
        <v>111</v>
      </c>
      <c r="C1960" s="381">
        <f>SPRRAS!D126</f>
        <v>0</v>
      </c>
      <c r="D1960" s="381">
        <f>SPRRAS!E126</f>
        <v>0</v>
      </c>
      <c r="E1960" s="381"/>
      <c r="F1960" s="381"/>
      <c r="G1960" s="375">
        <f t="shared" si="75"/>
        <v>0</v>
      </c>
      <c r="H1960" s="375">
        <f t="shared" si="76"/>
        <v>0</v>
      </c>
      <c r="I1960" s="376"/>
    </row>
    <row r="1961" spans="1:9" x14ac:dyDescent="0.25">
      <c r="A1961" s="373">
        <v>161</v>
      </c>
      <c r="B1961" s="374">
        <f>SPRRAS!C127</f>
        <v>112</v>
      </c>
      <c r="C1961" s="381">
        <f>SPRRAS!D127</f>
        <v>0</v>
      </c>
      <c r="D1961" s="381">
        <f>SPRRAS!E127</f>
        <v>0</v>
      </c>
      <c r="E1961" s="381"/>
      <c r="F1961" s="381"/>
      <c r="G1961" s="375">
        <f t="shared" si="75"/>
        <v>0</v>
      </c>
      <c r="H1961" s="375">
        <f t="shared" si="76"/>
        <v>0</v>
      </c>
      <c r="I1961" s="376"/>
    </row>
    <row r="1962" spans="1:9" x14ac:dyDescent="0.25">
      <c r="A1962" s="373">
        <v>161</v>
      </c>
      <c r="B1962" s="374">
        <f>SPRRAS!C128</f>
        <v>113</v>
      </c>
      <c r="C1962" s="381">
        <f>SPRRAS!D128</f>
        <v>0</v>
      </c>
      <c r="D1962" s="381">
        <f>SPRRAS!E128</f>
        <v>0</v>
      </c>
      <c r="E1962" s="381"/>
      <c r="F1962" s="381"/>
      <c r="G1962" s="375">
        <f t="shared" si="75"/>
        <v>0</v>
      </c>
      <c r="H1962" s="375">
        <f t="shared" si="76"/>
        <v>0</v>
      </c>
      <c r="I1962" s="376"/>
    </row>
    <row r="1963" spans="1:9" x14ac:dyDescent="0.25">
      <c r="A1963" s="373">
        <v>161</v>
      </c>
      <c r="B1963" s="374">
        <f>SPRRAS!C129</f>
        <v>114</v>
      </c>
      <c r="C1963" s="381">
        <f>SPRRAS!D129</f>
        <v>0</v>
      </c>
      <c r="D1963" s="381">
        <f>SPRRAS!E129</f>
        <v>0</v>
      </c>
      <c r="E1963" s="381"/>
      <c r="F1963" s="381"/>
      <c r="G1963" s="375">
        <f t="shared" si="75"/>
        <v>0</v>
      </c>
      <c r="H1963" s="375">
        <f t="shared" si="76"/>
        <v>0</v>
      </c>
      <c r="I1963" s="376"/>
    </row>
    <row r="1964" spans="1:9" x14ac:dyDescent="0.25">
      <c r="A1964" s="373">
        <v>161</v>
      </c>
      <c r="B1964" s="374">
        <f>SPRRAS!C130</f>
        <v>115</v>
      </c>
      <c r="C1964" s="381">
        <f>SPRRAS!D130</f>
        <v>0</v>
      </c>
      <c r="D1964" s="381">
        <f>SPRRAS!E130</f>
        <v>0</v>
      </c>
      <c r="E1964" s="381"/>
      <c r="F1964" s="381"/>
      <c r="G1964" s="375">
        <f t="shared" si="75"/>
        <v>0</v>
      </c>
      <c r="H1964" s="375">
        <f t="shared" si="76"/>
        <v>0</v>
      </c>
      <c r="I1964" s="376"/>
    </row>
    <row r="1965" spans="1:9" x14ac:dyDescent="0.25">
      <c r="A1965" s="373">
        <v>161</v>
      </c>
      <c r="B1965" s="374">
        <f>SPRRAS!C131</f>
        <v>116</v>
      </c>
      <c r="C1965" s="381">
        <f>SPRRAS!D131</f>
        <v>0</v>
      </c>
      <c r="D1965" s="381">
        <f>SPRRAS!E131</f>
        <v>0</v>
      </c>
      <c r="E1965" s="381"/>
      <c r="F1965" s="381"/>
      <c r="G1965" s="375">
        <f t="shared" si="75"/>
        <v>0</v>
      </c>
      <c r="H1965" s="375">
        <f t="shared" si="76"/>
        <v>0</v>
      </c>
      <c r="I1965" s="376"/>
    </row>
    <row r="1966" spans="1:9" x14ac:dyDescent="0.25">
      <c r="A1966" s="373">
        <v>161</v>
      </c>
      <c r="B1966" s="374">
        <f>SPRRAS!C132</f>
        <v>117</v>
      </c>
      <c r="C1966" s="381">
        <f>SPRRAS!D132</f>
        <v>0</v>
      </c>
      <c r="D1966" s="381">
        <f>SPRRAS!E132</f>
        <v>0</v>
      </c>
      <c r="E1966" s="381"/>
      <c r="F1966" s="381"/>
      <c r="G1966" s="375">
        <f t="shared" si="75"/>
        <v>0</v>
      </c>
      <c r="H1966" s="375">
        <f t="shared" si="76"/>
        <v>0</v>
      </c>
      <c r="I1966" s="376"/>
    </row>
    <row r="1967" spans="1:9" x14ac:dyDescent="0.25">
      <c r="A1967" s="373">
        <v>161</v>
      </c>
      <c r="B1967" s="374">
        <f>SPRRAS!C133</f>
        <v>118</v>
      </c>
      <c r="C1967" s="381">
        <f>SPRRAS!D133</f>
        <v>0</v>
      </c>
      <c r="D1967" s="381">
        <f>SPRRAS!E133</f>
        <v>0</v>
      </c>
      <c r="E1967" s="381"/>
      <c r="F1967" s="381"/>
      <c r="G1967" s="375">
        <f t="shared" si="75"/>
        <v>0</v>
      </c>
      <c r="H1967" s="375">
        <f t="shared" si="76"/>
        <v>0</v>
      </c>
      <c r="I1967" s="376"/>
    </row>
    <row r="1968" spans="1:9" x14ac:dyDescent="0.25">
      <c r="A1968" s="373">
        <v>161</v>
      </c>
      <c r="B1968" s="374">
        <f>SPRRAS!C134</f>
        <v>119</v>
      </c>
      <c r="C1968" s="381">
        <f>SPRRAS!D134</f>
        <v>0</v>
      </c>
      <c r="D1968" s="381">
        <f>SPRRAS!E134</f>
        <v>0</v>
      </c>
      <c r="E1968" s="381"/>
      <c r="F1968" s="381"/>
      <c r="G1968" s="375">
        <f t="shared" si="75"/>
        <v>0</v>
      </c>
      <c r="H1968" s="375">
        <f t="shared" si="76"/>
        <v>0</v>
      </c>
      <c r="I1968" s="376"/>
    </row>
    <row r="1969" spans="1:9" x14ac:dyDescent="0.25">
      <c r="A1969" s="373">
        <v>161</v>
      </c>
      <c r="B1969" s="374">
        <f>SPRRAS!C135</f>
        <v>120</v>
      </c>
      <c r="C1969" s="381">
        <f>SPRRAS!D135</f>
        <v>0</v>
      </c>
      <c r="D1969" s="381">
        <f>SPRRAS!E135</f>
        <v>0</v>
      </c>
      <c r="E1969" s="381"/>
      <c r="F1969" s="381"/>
      <c r="G1969" s="375">
        <f t="shared" si="75"/>
        <v>0</v>
      </c>
      <c r="H1969" s="375">
        <f t="shared" si="76"/>
        <v>0</v>
      </c>
      <c r="I1969" s="376"/>
    </row>
    <row r="1970" spans="1:9" x14ac:dyDescent="0.25">
      <c r="A1970" s="373">
        <v>161</v>
      </c>
      <c r="B1970" s="374">
        <f>SPRRAS!C136</f>
        <v>121</v>
      </c>
      <c r="C1970" s="381">
        <f>SPRRAS!D136</f>
        <v>0</v>
      </c>
      <c r="D1970" s="381">
        <f>SPRRAS!E136</f>
        <v>0</v>
      </c>
      <c r="E1970" s="381"/>
      <c r="F1970" s="381"/>
      <c r="G1970" s="375">
        <f t="shared" si="75"/>
        <v>0</v>
      </c>
      <c r="H1970" s="375">
        <f t="shared" si="76"/>
        <v>0</v>
      </c>
      <c r="I1970" s="376"/>
    </row>
    <row r="1971" spans="1:9" x14ac:dyDescent="0.25">
      <c r="A1971" s="373">
        <v>161</v>
      </c>
      <c r="B1971" s="374">
        <f>SPRRAS!C137</f>
        <v>122</v>
      </c>
      <c r="C1971" s="381">
        <f>SPRRAS!D137</f>
        <v>0</v>
      </c>
      <c r="D1971" s="381">
        <f>SPRRAS!E137</f>
        <v>0</v>
      </c>
      <c r="E1971" s="381"/>
      <c r="F1971" s="381"/>
      <c r="G1971" s="375">
        <f t="shared" si="75"/>
        <v>0</v>
      </c>
      <c r="H1971" s="375">
        <f t="shared" si="76"/>
        <v>0</v>
      </c>
      <c r="I1971" s="376"/>
    </row>
    <row r="1972" spans="1:9" x14ac:dyDescent="0.25">
      <c r="A1972" s="373">
        <v>161</v>
      </c>
      <c r="B1972" s="374">
        <f>SPRRAS!C138</f>
        <v>123</v>
      </c>
      <c r="C1972" s="381">
        <f>SPRRAS!D138</f>
        <v>0</v>
      </c>
      <c r="D1972" s="381">
        <f>SPRRAS!E138</f>
        <v>0</v>
      </c>
      <c r="E1972" s="381"/>
      <c r="F1972" s="381"/>
      <c r="G1972" s="375">
        <f t="shared" si="75"/>
        <v>0</v>
      </c>
      <c r="H1972" s="375">
        <f t="shared" si="76"/>
        <v>0</v>
      </c>
      <c r="I1972" s="376"/>
    </row>
    <row r="1973" spans="1:9" x14ac:dyDescent="0.25">
      <c r="A1973" s="373">
        <v>161</v>
      </c>
      <c r="B1973" s="374">
        <f>SPRRAS!C139</f>
        <v>124</v>
      </c>
      <c r="C1973" s="381">
        <f>SPRRAS!D139</f>
        <v>0</v>
      </c>
      <c r="D1973" s="381">
        <f>SPRRAS!E139</f>
        <v>0</v>
      </c>
      <c r="E1973" s="381"/>
      <c r="F1973" s="381"/>
      <c r="G1973" s="375">
        <f t="shared" si="75"/>
        <v>0</v>
      </c>
      <c r="H1973" s="375">
        <f t="shared" si="76"/>
        <v>0</v>
      </c>
      <c r="I1973" s="376"/>
    </row>
    <row r="1974" spans="1:9" x14ac:dyDescent="0.25">
      <c r="A1974" s="373">
        <v>161</v>
      </c>
      <c r="B1974" s="374">
        <f>SPRRAS!C140</f>
        <v>125</v>
      </c>
      <c r="C1974" s="381">
        <f>SPRRAS!D140</f>
        <v>0</v>
      </c>
      <c r="D1974" s="381">
        <f>SPRRAS!E140</f>
        <v>0</v>
      </c>
      <c r="E1974" s="381"/>
      <c r="F1974" s="381"/>
      <c r="G1974" s="375">
        <f t="shared" si="75"/>
        <v>0</v>
      </c>
      <c r="H1974" s="375">
        <f t="shared" si="76"/>
        <v>0</v>
      </c>
      <c r="I1974" s="376"/>
    </row>
    <row r="1975" spans="1:9" x14ac:dyDescent="0.25">
      <c r="A1975" s="377">
        <v>161</v>
      </c>
      <c r="B1975" s="378">
        <f>SPRRAS!C141</f>
        <v>126</v>
      </c>
      <c r="C1975" s="382">
        <f>SPRRAS!D141</f>
        <v>0</v>
      </c>
      <c r="D1975" s="382">
        <f>SPRRAS!E141</f>
        <v>0</v>
      </c>
      <c r="E1975" s="382"/>
      <c r="F1975" s="382"/>
      <c r="G1975" s="379">
        <f t="shared" si="75"/>
        <v>0</v>
      </c>
      <c r="H1975" s="379">
        <f t="shared" si="76"/>
        <v>0</v>
      </c>
      <c r="I1975" s="380"/>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pageSetUpPr fitToPage="1"/>
  </sheetPr>
  <dimension ref="A1:F142"/>
  <sheetViews>
    <sheetView showGridLines="0" showRowColHeaders="0" workbookViewId="0">
      <selection sqref="A1:C1"/>
    </sheetView>
  </sheetViews>
  <sheetFormatPr defaultColWidth="0" defaultRowHeight="13.2" zeroHeight="1" x14ac:dyDescent="0.25"/>
  <cols>
    <col min="1" max="1" width="7.6640625" style="4" customWidth="1"/>
    <col min="2" max="2" width="70.6640625" style="4" customWidth="1"/>
    <col min="3" max="3" width="4.33203125" style="4" customWidth="1"/>
    <col min="4" max="4" width="15.6640625" style="4" customWidth="1"/>
    <col min="5" max="5" width="15.6640625" style="2" customWidth="1"/>
    <col min="6" max="6" width="7.6640625" style="2" customWidth="1"/>
    <col min="7" max="7" width="0.88671875" style="2" customWidth="1"/>
    <col min="8" max="16384" width="0" style="2" hidden="1"/>
  </cols>
  <sheetData>
    <row r="1" spans="1:6" s="1" customFormat="1" ht="20.100000000000001" customHeight="1" thickBot="1" x14ac:dyDescent="0.3">
      <c r="A1" s="576" t="s">
        <v>4155</v>
      </c>
      <c r="B1" s="577"/>
      <c r="C1" s="577"/>
      <c r="D1" s="587" t="s">
        <v>285</v>
      </c>
      <c r="E1" s="587"/>
      <c r="F1" s="587"/>
    </row>
    <row r="2" spans="1:6" s="4" customFormat="1" ht="39.9" customHeight="1" thickBot="1" x14ac:dyDescent="0.3">
      <c r="A2" s="567" t="s">
        <v>1764</v>
      </c>
      <c r="B2" s="567"/>
      <c r="C2" s="567"/>
      <c r="D2" s="568"/>
      <c r="E2" s="565" t="s">
        <v>409</v>
      </c>
      <c r="F2" s="566"/>
    </row>
    <row r="3" spans="1:6" s="4" customFormat="1" ht="30" customHeight="1" x14ac:dyDescent="0.25">
      <c r="A3" s="564" t="str">
        <f>IF(RefStr!F6="","- prije popunjavanja obrasca odaberite razdoblje -",IF(OR(RIGHT(RefStr!F6,2)="03",RIGHT(RefStr!F6,2)="09"),LOOKUP(RefStr!F6,RefStr!N40:N64,RefStr!Q40:Q64)," - za odabrano razdoblje obrazac se ne popunjava -"))</f>
        <v xml:space="preserve"> - za odabrano razdoblje obrazac se ne popunjava -</v>
      </c>
      <c r="B3" s="564"/>
      <c r="C3" s="564"/>
      <c r="D3" s="564"/>
      <c r="E3" s="28"/>
      <c r="F3" s="28"/>
    </row>
    <row r="4" spans="1:6" s="4" customFormat="1" ht="15" customHeight="1" x14ac:dyDescent="0.25">
      <c r="A4" s="59" t="s">
        <v>3293</v>
      </c>
      <c r="B4" s="528" t="str">
        <f xml:space="preserve"> "RKP: " &amp; TEXT(INT(VALUE(RefStr!B6)),"00000") &amp; ",  " &amp; "MB: " &amp; TEXT(INT(VALUE(RefStr!B8)), "00000000") &amp; "  " &amp; RefStr!B10</f>
        <v>RKP: 281186,  MB: 02745658  OPĆINA SOKOLOVAC</v>
      </c>
      <c r="C4" s="529"/>
      <c r="D4" s="529"/>
      <c r="E4" s="529"/>
      <c r="F4" s="529"/>
    </row>
    <row r="5" spans="1:6" s="4" customFormat="1" ht="15" customHeight="1" x14ac:dyDescent="0.25">
      <c r="A5" s="62"/>
      <c r="B5" s="528" t="str">
        <f>RefStr!B12 &amp; " " &amp; RefStr!C12 &amp; ", " &amp; RefStr!B14</f>
        <v>48306 Sokolovac, Trg dr. Bardeka 8</v>
      </c>
      <c r="C5" s="529"/>
      <c r="D5" s="529"/>
      <c r="E5" s="529"/>
      <c r="F5" s="529"/>
    </row>
    <row r="6" spans="1:6" s="4" customFormat="1" ht="15" customHeight="1" x14ac:dyDescent="0.25">
      <c r="A6" s="63"/>
      <c r="B6" s="530" t="str">
        <f xml:space="preserve"> "Razina: " &amp; RefStr!B16 &amp; ", Razdjel: " &amp; TEXT(INT(VALUE(RefStr!B20)), "000")</f>
        <v>Razina: 22, Razdjel: 000</v>
      </c>
      <c r="C6" s="531"/>
      <c r="D6" s="531"/>
      <c r="E6" s="531"/>
      <c r="F6" s="531"/>
    </row>
    <row r="7" spans="1:6" s="4" customFormat="1" ht="15" customHeight="1" x14ac:dyDescent="0.25">
      <c r="A7" s="63"/>
      <c r="B7" s="530" t="str">
        <f>"Djelatnost: " &amp; RefStr!B18 &amp; " " &amp; RefStr!C18</f>
        <v>Djelatnost: 8411 Opće djelatnosti javne uprave</v>
      </c>
      <c r="C7" s="531"/>
      <c r="D7" s="531"/>
      <c r="E7" s="531"/>
      <c r="F7" s="531"/>
    </row>
    <row r="8" spans="1:6" s="4" customFormat="1" ht="15" customHeight="1" x14ac:dyDescent="0.25">
      <c r="A8" s="27"/>
      <c r="B8" s="28"/>
      <c r="C8" s="28"/>
      <c r="D8" s="28"/>
      <c r="E8" s="28"/>
      <c r="F8" s="28"/>
    </row>
    <row r="9" spans="1:6" s="4" customFormat="1" ht="14.25" customHeight="1" x14ac:dyDescent="0.25">
      <c r="A9" s="11"/>
      <c r="B9" s="11"/>
      <c r="C9" s="11"/>
      <c r="D9" s="11"/>
      <c r="E9" s="5"/>
      <c r="F9" s="12" t="s">
        <v>286</v>
      </c>
    </row>
    <row r="10" spans="1:6" s="4" customFormat="1" ht="35.1" customHeight="1" x14ac:dyDescent="0.25">
      <c r="A10" s="19" t="s">
        <v>287</v>
      </c>
      <c r="B10" s="20" t="s">
        <v>1770</v>
      </c>
      <c r="C10" s="21" t="s">
        <v>4501</v>
      </c>
      <c r="D10" s="291" t="s">
        <v>4153</v>
      </c>
      <c r="E10" s="291" t="s">
        <v>972</v>
      </c>
      <c r="F10" s="19" t="s">
        <v>3574</v>
      </c>
    </row>
    <row r="11" spans="1:6" s="4" customFormat="1" ht="12" customHeight="1" x14ac:dyDescent="0.25">
      <c r="A11" s="107">
        <v>1</v>
      </c>
      <c r="B11" s="109">
        <v>2</v>
      </c>
      <c r="C11" s="109">
        <v>3</v>
      </c>
      <c r="D11" s="109">
        <v>4</v>
      </c>
      <c r="E11" s="107">
        <v>5</v>
      </c>
      <c r="F11" s="107">
        <v>6</v>
      </c>
    </row>
    <row r="12" spans="1:6" s="4" customFormat="1" ht="14.1" customHeight="1" x14ac:dyDescent="0.25">
      <c r="A12" s="292">
        <v>6</v>
      </c>
      <c r="B12" s="302" t="s">
        <v>973</v>
      </c>
      <c r="C12" s="343">
        <v>1</v>
      </c>
      <c r="D12" s="212">
        <f>SUM(D13:D18)</f>
        <v>0</v>
      </c>
      <c r="E12" s="212">
        <f>SUM(E13:E18)</f>
        <v>0</v>
      </c>
      <c r="F12" s="293" t="str">
        <f>IF(D12&gt;0,IF(E12/D12&gt;=100,"&gt;&gt;100",E12/D12*100),"-")</f>
        <v>-</v>
      </c>
    </row>
    <row r="13" spans="1:6" s="4" customFormat="1" ht="14.1" customHeight="1" x14ac:dyDescent="0.25">
      <c r="A13" s="294" t="s">
        <v>2137</v>
      </c>
      <c r="B13" s="303" t="s">
        <v>974</v>
      </c>
      <c r="C13" s="344">
        <v>2</v>
      </c>
      <c r="D13" s="295"/>
      <c r="E13" s="295"/>
      <c r="F13" s="296" t="str">
        <f>IF(D13&gt;0,IF(E13/D13&gt;=100,"&gt;&gt;100",E13/D13*100),"-")</f>
        <v>-</v>
      </c>
    </row>
    <row r="14" spans="1:6" s="4" customFormat="1" ht="14.1" customHeight="1" x14ac:dyDescent="0.25">
      <c r="A14" s="294" t="s">
        <v>1836</v>
      </c>
      <c r="B14" s="303" t="s">
        <v>3578</v>
      </c>
      <c r="C14" s="344">
        <v>3</v>
      </c>
      <c r="D14" s="295"/>
      <c r="E14" s="295"/>
      <c r="F14" s="296" t="str">
        <f>IF(D14&gt;0,IF(E14/D14&gt;=100,"&gt;&gt;100",E14/D14*100),"-")</f>
        <v>-</v>
      </c>
    </row>
    <row r="15" spans="1:6" s="4" customFormat="1" ht="14.1" customHeight="1" x14ac:dyDescent="0.25">
      <c r="A15" s="294" t="s">
        <v>4206</v>
      </c>
      <c r="B15" s="304" t="s">
        <v>975</v>
      </c>
      <c r="C15" s="344">
        <v>4</v>
      </c>
      <c r="D15" s="295"/>
      <c r="E15" s="295"/>
      <c r="F15" s="296" t="str">
        <f>IF(D15&gt;0,IF(E15/D15&gt;=100,"&gt;&gt;100",E15/D15*100),"-")</f>
        <v>-</v>
      </c>
    </row>
    <row r="16" spans="1:6" s="4" customFormat="1" ht="14.1" customHeight="1" x14ac:dyDescent="0.25">
      <c r="A16" s="294" t="s">
        <v>305</v>
      </c>
      <c r="B16" s="303" t="s">
        <v>2350</v>
      </c>
      <c r="C16" s="344">
        <v>5</v>
      </c>
      <c r="D16" s="295"/>
      <c r="E16" s="295"/>
      <c r="F16" s="296" t="str">
        <f>IF(D16&gt;0,IF(E16/D16&gt;=100,"&gt;&gt;100",E16/D16*100),"-")</f>
        <v>-</v>
      </c>
    </row>
    <row r="17" spans="1:6" s="4" customFormat="1" ht="14.1" customHeight="1" x14ac:dyDescent="0.25">
      <c r="A17" s="294" t="s">
        <v>2351</v>
      </c>
      <c r="B17" s="303" t="s">
        <v>2352</v>
      </c>
      <c r="C17" s="344">
        <v>6</v>
      </c>
      <c r="D17" s="295"/>
      <c r="E17" s="295"/>
      <c r="F17" s="296" t="str">
        <f t="shared" ref="F17:F28" si="0">IF(D17&gt;0,IF(E17/D17&gt;=100,"&gt;&gt;100",E17/D17*100),"-")</f>
        <v>-</v>
      </c>
    </row>
    <row r="18" spans="1:6" s="4" customFormat="1" ht="14.1" customHeight="1" x14ac:dyDescent="0.25">
      <c r="A18" s="294" t="s">
        <v>2353</v>
      </c>
      <c r="B18" s="303" t="s">
        <v>2354</v>
      </c>
      <c r="C18" s="344">
        <v>7</v>
      </c>
      <c r="D18" s="295"/>
      <c r="E18" s="295"/>
      <c r="F18" s="296" t="str">
        <f t="shared" si="0"/>
        <v>-</v>
      </c>
    </row>
    <row r="19" spans="1:6" s="4" customFormat="1" ht="14.1" customHeight="1" x14ac:dyDescent="0.25">
      <c r="A19" s="294" t="s">
        <v>4498</v>
      </c>
      <c r="B19" s="303" t="s">
        <v>2355</v>
      </c>
      <c r="C19" s="344">
        <v>8</v>
      </c>
      <c r="D19" s="216">
        <f>SUM(D20:D26)</f>
        <v>0</v>
      </c>
      <c r="E19" s="216">
        <f>SUM(E20:E26)</f>
        <v>0</v>
      </c>
      <c r="F19" s="296" t="str">
        <f t="shared" si="0"/>
        <v>-</v>
      </c>
    </row>
    <row r="20" spans="1:6" s="4" customFormat="1" ht="14.1" customHeight="1" x14ac:dyDescent="0.25">
      <c r="A20" s="294" t="s">
        <v>4499</v>
      </c>
      <c r="B20" s="303" t="s">
        <v>4209</v>
      </c>
      <c r="C20" s="344">
        <v>9</v>
      </c>
      <c r="D20" s="295"/>
      <c r="E20" s="295"/>
      <c r="F20" s="296" t="str">
        <f t="shared" si="0"/>
        <v>-</v>
      </c>
    </row>
    <row r="21" spans="1:6" s="4" customFormat="1" ht="14.1" customHeight="1" x14ac:dyDescent="0.25">
      <c r="A21" s="294" t="s">
        <v>2396</v>
      </c>
      <c r="B21" s="303" t="s">
        <v>4210</v>
      </c>
      <c r="C21" s="344">
        <v>10</v>
      </c>
      <c r="D21" s="295"/>
      <c r="E21" s="295"/>
      <c r="F21" s="296" t="str">
        <f t="shared" si="0"/>
        <v>-</v>
      </c>
    </row>
    <row r="22" spans="1:6" s="4" customFormat="1" ht="14.1" customHeight="1" x14ac:dyDescent="0.25">
      <c r="A22" s="294" t="s">
        <v>712</v>
      </c>
      <c r="B22" s="303" t="s">
        <v>4211</v>
      </c>
      <c r="C22" s="344">
        <v>11</v>
      </c>
      <c r="D22" s="295"/>
      <c r="E22" s="295"/>
      <c r="F22" s="296" t="str">
        <f t="shared" si="0"/>
        <v>-</v>
      </c>
    </row>
    <row r="23" spans="1:6" s="4" customFormat="1" ht="14.1" customHeight="1" x14ac:dyDescent="0.25">
      <c r="A23" s="294" t="s">
        <v>1255</v>
      </c>
      <c r="B23" s="303" t="s">
        <v>4212</v>
      </c>
      <c r="C23" s="344">
        <v>12</v>
      </c>
      <c r="D23" s="295"/>
      <c r="E23" s="295"/>
      <c r="F23" s="296" t="str">
        <f t="shared" si="0"/>
        <v>-</v>
      </c>
    </row>
    <row r="24" spans="1:6" s="4" customFormat="1" ht="14.1" customHeight="1" x14ac:dyDescent="0.25">
      <c r="A24" s="294" t="s">
        <v>1841</v>
      </c>
      <c r="B24" s="303" t="s">
        <v>2356</v>
      </c>
      <c r="C24" s="344">
        <v>13</v>
      </c>
      <c r="D24" s="295"/>
      <c r="E24" s="295"/>
      <c r="F24" s="296" t="str">
        <f t="shared" si="0"/>
        <v>-</v>
      </c>
    </row>
    <row r="25" spans="1:6" s="4" customFormat="1" ht="14.1" customHeight="1" x14ac:dyDescent="0.25">
      <c r="A25" s="294" t="s">
        <v>1844</v>
      </c>
      <c r="B25" s="303" t="s">
        <v>4213</v>
      </c>
      <c r="C25" s="344">
        <v>14</v>
      </c>
      <c r="D25" s="295"/>
      <c r="E25" s="295"/>
      <c r="F25" s="296" t="str">
        <f t="shared" si="0"/>
        <v>-</v>
      </c>
    </row>
    <row r="26" spans="1:6" s="4" customFormat="1" ht="14.1" customHeight="1" x14ac:dyDescent="0.25">
      <c r="A26" s="294" t="s">
        <v>4508</v>
      </c>
      <c r="B26" s="303" t="s">
        <v>4214</v>
      </c>
      <c r="C26" s="344">
        <v>15</v>
      </c>
      <c r="D26" s="295"/>
      <c r="E26" s="295"/>
      <c r="F26" s="296" t="str">
        <f t="shared" si="0"/>
        <v>-</v>
      </c>
    </row>
    <row r="27" spans="1:6" s="4" customFormat="1" ht="14.1" customHeight="1" x14ac:dyDescent="0.25">
      <c r="A27" s="294"/>
      <c r="B27" s="303" t="s">
        <v>4493</v>
      </c>
      <c r="C27" s="344">
        <v>16</v>
      </c>
      <c r="D27" s="295"/>
      <c r="E27" s="295"/>
      <c r="F27" s="296" t="str">
        <f t="shared" si="0"/>
        <v>-</v>
      </c>
    </row>
    <row r="28" spans="1:6" s="4" customFormat="1" ht="14.1" customHeight="1" x14ac:dyDescent="0.25">
      <c r="A28" s="294"/>
      <c r="B28" s="303" t="s">
        <v>4108</v>
      </c>
      <c r="C28" s="344">
        <v>17</v>
      </c>
      <c r="D28" s="295"/>
      <c r="E28" s="295"/>
      <c r="F28" s="296" t="str">
        <f t="shared" si="0"/>
        <v>-</v>
      </c>
    </row>
    <row r="29" spans="1:6" s="4" customFormat="1" ht="14.1" customHeight="1" x14ac:dyDescent="0.25">
      <c r="A29" s="294"/>
      <c r="B29" s="303" t="s">
        <v>2357</v>
      </c>
      <c r="C29" s="344">
        <v>18</v>
      </c>
      <c r="D29" s="216">
        <f>IF(D28&gt;=D27,D28-D27,0)</f>
        <v>0</v>
      </c>
      <c r="E29" s="216">
        <f>IF(E28&gt;=E27,E28-E27,0)</f>
        <v>0</v>
      </c>
      <c r="F29" s="297" t="str">
        <f>IF(D29&gt;0,IF(E29/D29&gt;=100,"&gt;&gt;100",E29/D29*100),"-")</f>
        <v>-</v>
      </c>
    </row>
    <row r="30" spans="1:6" s="4" customFormat="1" ht="14.1" customHeight="1" x14ac:dyDescent="0.25">
      <c r="A30" s="294"/>
      <c r="B30" s="303" t="s">
        <v>2358</v>
      </c>
      <c r="C30" s="344">
        <v>19</v>
      </c>
      <c r="D30" s="216">
        <f>IF(D27&gt;=D28,D27-D28,0)</f>
        <v>0</v>
      </c>
      <c r="E30" s="216">
        <f>IF(E27&gt;=E28,E27-E28,0)</f>
        <v>0</v>
      </c>
      <c r="F30" s="297" t="str">
        <f>IF(D30&gt;0,IF(E30/D30&gt;=100,"&gt;&gt;100",E30/D30*100),"-")</f>
        <v>-</v>
      </c>
    </row>
    <row r="31" spans="1:6" s="4" customFormat="1" ht="14.1" customHeight="1" x14ac:dyDescent="0.25">
      <c r="A31" s="294" t="s">
        <v>2454</v>
      </c>
      <c r="B31" s="300" t="s">
        <v>1921</v>
      </c>
      <c r="C31" s="344">
        <v>20</v>
      </c>
      <c r="D31" s="295"/>
      <c r="E31" s="295"/>
      <c r="F31" s="297" t="str">
        <f t="shared" ref="F31:F37" si="1">IF(D31&gt;0,IF(E31/D31&gt;=100,"&gt;&gt;100",E31/D31*100),"-")</f>
        <v>-</v>
      </c>
    </row>
    <row r="32" spans="1:6" s="4" customFormat="1" ht="14.1" customHeight="1" x14ac:dyDescent="0.25">
      <c r="A32" s="294" t="s">
        <v>695</v>
      </c>
      <c r="B32" s="300" t="s">
        <v>2359</v>
      </c>
      <c r="C32" s="344">
        <v>21</v>
      </c>
      <c r="D32" s="216">
        <f>SUM(D33:D37)</f>
        <v>0</v>
      </c>
      <c r="E32" s="216">
        <f>SUM(E33:E37)</f>
        <v>0</v>
      </c>
      <c r="F32" s="297" t="str">
        <f t="shared" si="1"/>
        <v>-</v>
      </c>
    </row>
    <row r="33" spans="1:6" s="4" customFormat="1" ht="14.1" customHeight="1" x14ac:dyDescent="0.25">
      <c r="A33" s="294" t="s">
        <v>696</v>
      </c>
      <c r="B33" s="300" t="s">
        <v>2360</v>
      </c>
      <c r="C33" s="344">
        <v>22</v>
      </c>
      <c r="D33" s="295"/>
      <c r="E33" s="295"/>
      <c r="F33" s="297" t="str">
        <f t="shared" si="1"/>
        <v>-</v>
      </c>
    </row>
    <row r="34" spans="1:6" s="4" customFormat="1" ht="14.1" customHeight="1" x14ac:dyDescent="0.25">
      <c r="A34" s="294" t="s">
        <v>702</v>
      </c>
      <c r="B34" s="300" t="s">
        <v>1922</v>
      </c>
      <c r="C34" s="344">
        <v>23</v>
      </c>
      <c r="D34" s="295"/>
      <c r="E34" s="295"/>
      <c r="F34" s="297" t="str">
        <f t="shared" si="1"/>
        <v>-</v>
      </c>
    </row>
    <row r="35" spans="1:6" s="4" customFormat="1" ht="14.1" customHeight="1" x14ac:dyDescent="0.25">
      <c r="A35" s="294" t="s">
        <v>3986</v>
      </c>
      <c r="B35" s="300" t="s">
        <v>1923</v>
      </c>
      <c r="C35" s="344">
        <v>24</v>
      </c>
      <c r="D35" s="295"/>
      <c r="E35" s="295"/>
      <c r="F35" s="297" t="str">
        <f t="shared" si="1"/>
        <v>-</v>
      </c>
    </row>
    <row r="36" spans="1:6" s="4" customFormat="1" ht="14.1" customHeight="1" x14ac:dyDescent="0.25">
      <c r="A36" s="294" t="s">
        <v>2862</v>
      </c>
      <c r="B36" s="300" t="s">
        <v>1924</v>
      </c>
      <c r="C36" s="344">
        <v>25</v>
      </c>
      <c r="D36" s="295"/>
      <c r="E36" s="295"/>
      <c r="F36" s="297" t="str">
        <f t="shared" si="1"/>
        <v>-</v>
      </c>
    </row>
    <row r="37" spans="1:6" s="4" customFormat="1" ht="14.1" customHeight="1" x14ac:dyDescent="0.25">
      <c r="A37" s="294" t="s">
        <v>2863</v>
      </c>
      <c r="B37" s="300" t="s">
        <v>2751</v>
      </c>
      <c r="C37" s="344">
        <v>26</v>
      </c>
      <c r="D37" s="295"/>
      <c r="E37" s="295"/>
      <c r="F37" s="297" t="str">
        <f t="shared" si="1"/>
        <v>-</v>
      </c>
    </row>
    <row r="38" spans="1:6" s="4" customFormat="1" ht="14.1" customHeight="1" x14ac:dyDescent="0.25">
      <c r="A38" s="294"/>
      <c r="B38" s="300" t="s">
        <v>1871</v>
      </c>
      <c r="C38" s="344">
        <v>27</v>
      </c>
      <c r="D38" s="216">
        <f>D12+D31</f>
        <v>0</v>
      </c>
      <c r="E38" s="216">
        <f>E12+E31</f>
        <v>0</v>
      </c>
      <c r="F38" s="297" t="str">
        <f>IF(D38&gt;0,IF(E38/D38&gt;=100,"&gt;&gt;100",E38/D38*100),"-")</f>
        <v>-</v>
      </c>
    </row>
    <row r="39" spans="1:6" s="4" customFormat="1" ht="14.1" customHeight="1" x14ac:dyDescent="0.25">
      <c r="A39" s="305"/>
      <c r="B39" s="306" t="s">
        <v>1872</v>
      </c>
      <c r="C39" s="345">
        <v>28</v>
      </c>
      <c r="D39" s="224">
        <f>D19-D29+D30+D32</f>
        <v>0</v>
      </c>
      <c r="E39" s="224">
        <f>E19-E29+E30+E32</f>
        <v>0</v>
      </c>
      <c r="F39" s="301" t="str">
        <f>IF(D39&gt;0,IF(E39/D39&gt;=100,"&gt;&gt;100",E39/D39*100),"-")</f>
        <v>-</v>
      </c>
    </row>
    <row r="40" spans="1:6" s="4" customFormat="1" ht="18" customHeight="1" x14ac:dyDescent="0.25">
      <c r="A40" s="588" t="s">
        <v>4274</v>
      </c>
      <c r="B40" s="589"/>
      <c r="C40" s="589"/>
      <c r="D40" s="589"/>
      <c r="E40" s="589"/>
      <c r="F40" s="590"/>
    </row>
    <row r="41" spans="1:6" s="4" customFormat="1" ht="14.1" customHeight="1" x14ac:dyDescent="0.25">
      <c r="A41" s="292"/>
      <c r="B41" s="309" t="s">
        <v>1925</v>
      </c>
      <c r="C41" s="343">
        <v>29</v>
      </c>
      <c r="D41" s="402"/>
      <c r="E41" s="402"/>
      <c r="F41" s="310" t="str">
        <f t="shared" ref="F41:F101" si="2">IF(D41&gt;0,IF(E41/D41&gt;=100,"&gt;&gt;100",E41/D41*100),"-")</f>
        <v>-</v>
      </c>
    </row>
    <row r="42" spans="1:6" s="4" customFormat="1" ht="14.1" customHeight="1" x14ac:dyDescent="0.25">
      <c r="A42" s="294"/>
      <c r="B42" s="298" t="s">
        <v>2138</v>
      </c>
      <c r="C42" s="344">
        <v>30</v>
      </c>
      <c r="D42" s="295"/>
      <c r="E42" s="295"/>
      <c r="F42" s="297" t="str">
        <f t="shared" si="2"/>
        <v>-</v>
      </c>
    </row>
    <row r="43" spans="1:6" s="4" customFormat="1" ht="14.1" customHeight="1" x14ac:dyDescent="0.25">
      <c r="A43" s="294" t="s">
        <v>1873</v>
      </c>
      <c r="B43" s="300" t="s">
        <v>19</v>
      </c>
      <c r="C43" s="344">
        <v>31</v>
      </c>
      <c r="D43" s="295"/>
      <c r="E43" s="295"/>
      <c r="F43" s="297" t="str">
        <f t="shared" si="2"/>
        <v>-</v>
      </c>
    </row>
    <row r="44" spans="1:6" s="4" customFormat="1" ht="14.1" customHeight="1" x14ac:dyDescent="0.25">
      <c r="A44" s="294" t="s">
        <v>1874</v>
      </c>
      <c r="B44" s="300" t="s">
        <v>20</v>
      </c>
      <c r="C44" s="344">
        <v>32</v>
      </c>
      <c r="D44" s="295"/>
      <c r="E44" s="295"/>
      <c r="F44" s="297" t="str">
        <f t="shared" si="2"/>
        <v>-</v>
      </c>
    </row>
    <row r="45" spans="1:6" s="4" customFormat="1" ht="14.1" customHeight="1" x14ac:dyDescent="0.25">
      <c r="A45" s="294" t="s">
        <v>1875</v>
      </c>
      <c r="B45" s="300" t="s">
        <v>4046</v>
      </c>
      <c r="C45" s="344">
        <v>33</v>
      </c>
      <c r="D45" s="295"/>
      <c r="E45" s="295"/>
      <c r="F45" s="297" t="str">
        <f t="shared" si="2"/>
        <v>-</v>
      </c>
    </row>
    <row r="46" spans="1:6" s="4" customFormat="1" ht="14.1" customHeight="1" x14ac:dyDescent="0.25">
      <c r="A46" s="294" t="s">
        <v>1876</v>
      </c>
      <c r="B46" s="300" t="s">
        <v>4047</v>
      </c>
      <c r="C46" s="344">
        <v>34</v>
      </c>
      <c r="D46" s="295"/>
      <c r="E46" s="295"/>
      <c r="F46" s="297" t="str">
        <f t="shared" si="2"/>
        <v>-</v>
      </c>
    </row>
    <row r="47" spans="1:6" s="4" customFormat="1" ht="14.1" customHeight="1" x14ac:dyDescent="0.25">
      <c r="A47" s="294" t="s">
        <v>1877</v>
      </c>
      <c r="B47" s="300" t="s">
        <v>637</v>
      </c>
      <c r="C47" s="344">
        <v>35</v>
      </c>
      <c r="D47" s="295"/>
      <c r="E47" s="295"/>
      <c r="F47" s="297" t="str">
        <f t="shared" si="2"/>
        <v>-</v>
      </c>
    </row>
    <row r="48" spans="1:6" s="4" customFormat="1" ht="14.1" customHeight="1" x14ac:dyDescent="0.25">
      <c r="A48" s="294" t="s">
        <v>1878</v>
      </c>
      <c r="B48" s="300" t="s">
        <v>638</v>
      </c>
      <c r="C48" s="344">
        <v>36</v>
      </c>
      <c r="D48" s="295"/>
      <c r="E48" s="295"/>
      <c r="F48" s="297" t="str">
        <f t="shared" si="2"/>
        <v>-</v>
      </c>
    </row>
    <row r="49" spans="1:6" s="4" customFormat="1" ht="14.1" customHeight="1" x14ac:dyDescent="0.25">
      <c r="A49" s="299" t="s">
        <v>306</v>
      </c>
      <c r="B49" s="298" t="s">
        <v>1879</v>
      </c>
      <c r="C49" s="344">
        <v>37</v>
      </c>
      <c r="D49" s="295"/>
      <c r="E49" s="295"/>
      <c r="F49" s="297" t="str">
        <f t="shared" si="2"/>
        <v>-</v>
      </c>
    </row>
    <row r="50" spans="1:6" s="4" customFormat="1" ht="14.1" customHeight="1" x14ac:dyDescent="0.25">
      <c r="A50" s="299" t="s">
        <v>1880</v>
      </c>
      <c r="B50" s="298" t="s">
        <v>312</v>
      </c>
      <c r="C50" s="344">
        <v>38</v>
      </c>
      <c r="D50" s="295"/>
      <c r="E50" s="295"/>
      <c r="F50" s="297" t="str">
        <f t="shared" si="2"/>
        <v>-</v>
      </c>
    </row>
    <row r="51" spans="1:6" s="4" customFormat="1" ht="14.1" customHeight="1" x14ac:dyDescent="0.25">
      <c r="A51" s="299" t="s">
        <v>1881</v>
      </c>
      <c r="B51" s="298" t="s">
        <v>630</v>
      </c>
      <c r="C51" s="344">
        <v>39</v>
      </c>
      <c r="D51" s="295"/>
      <c r="E51" s="295"/>
      <c r="F51" s="297" t="str">
        <f t="shared" si="2"/>
        <v>-</v>
      </c>
    </row>
    <row r="52" spans="1:6" s="4" customFormat="1" ht="14.1" customHeight="1" x14ac:dyDescent="0.25">
      <c r="A52" s="299" t="s">
        <v>1882</v>
      </c>
      <c r="B52" s="298" t="s">
        <v>3450</v>
      </c>
      <c r="C52" s="344">
        <v>40</v>
      </c>
      <c r="D52" s="295"/>
      <c r="E52" s="295"/>
      <c r="F52" s="297" t="str">
        <f t="shared" si="2"/>
        <v>-</v>
      </c>
    </row>
    <row r="53" spans="1:6" s="4" customFormat="1" ht="14.1" customHeight="1" x14ac:dyDescent="0.25">
      <c r="A53" s="299" t="s">
        <v>4499</v>
      </c>
      <c r="B53" s="298" t="s">
        <v>3451</v>
      </c>
      <c r="C53" s="344">
        <v>41</v>
      </c>
      <c r="D53" s="216">
        <f>D54+D57+D58</f>
        <v>0</v>
      </c>
      <c r="E53" s="216">
        <f>E54+E57+E58</f>
        <v>0</v>
      </c>
      <c r="F53" s="297" t="str">
        <f t="shared" si="2"/>
        <v>-</v>
      </c>
    </row>
    <row r="54" spans="1:6" s="4" customFormat="1" ht="14.1" customHeight="1" x14ac:dyDescent="0.25">
      <c r="A54" s="299" t="s">
        <v>4500</v>
      </c>
      <c r="B54" s="298" t="s">
        <v>3452</v>
      </c>
      <c r="C54" s="344">
        <v>42</v>
      </c>
      <c r="D54" s="295"/>
      <c r="E54" s="295"/>
      <c r="F54" s="297" t="str">
        <f t="shared" si="2"/>
        <v>-</v>
      </c>
    </row>
    <row r="55" spans="1:6" s="4" customFormat="1" ht="14.1" customHeight="1" x14ac:dyDescent="0.25">
      <c r="A55" s="299" t="s">
        <v>365</v>
      </c>
      <c r="B55" s="298" t="s">
        <v>3453</v>
      </c>
      <c r="C55" s="344">
        <v>43</v>
      </c>
      <c r="D55" s="295"/>
      <c r="E55" s="295"/>
      <c r="F55" s="297" t="str">
        <f t="shared" si="2"/>
        <v>-</v>
      </c>
    </row>
    <row r="56" spans="1:6" s="4" customFormat="1" ht="14.1" customHeight="1" x14ac:dyDescent="0.25">
      <c r="A56" s="299" t="s">
        <v>365</v>
      </c>
      <c r="B56" s="298" t="s">
        <v>3454</v>
      </c>
      <c r="C56" s="344">
        <v>44</v>
      </c>
      <c r="D56" s="295"/>
      <c r="E56" s="295"/>
      <c r="F56" s="297" t="str">
        <f t="shared" si="2"/>
        <v>-</v>
      </c>
    </row>
    <row r="57" spans="1:6" s="4" customFormat="1" ht="14.1" customHeight="1" x14ac:dyDescent="0.25">
      <c r="A57" s="299" t="s">
        <v>2393</v>
      </c>
      <c r="B57" s="298" t="s">
        <v>1926</v>
      </c>
      <c r="C57" s="344">
        <v>45</v>
      </c>
      <c r="D57" s="295"/>
      <c r="E57" s="295"/>
      <c r="F57" s="297" t="str">
        <f t="shared" si="2"/>
        <v>-</v>
      </c>
    </row>
    <row r="58" spans="1:6" s="4" customFormat="1" ht="14.1" customHeight="1" x14ac:dyDescent="0.25">
      <c r="A58" s="299" t="s">
        <v>2395</v>
      </c>
      <c r="B58" s="298" t="s">
        <v>1927</v>
      </c>
      <c r="C58" s="344">
        <v>46</v>
      </c>
      <c r="D58" s="295"/>
      <c r="E58" s="295"/>
      <c r="F58" s="297" t="str">
        <f t="shared" si="2"/>
        <v>-</v>
      </c>
    </row>
    <row r="59" spans="1:6" s="4" customFormat="1" ht="14.1" customHeight="1" x14ac:dyDescent="0.25">
      <c r="A59" s="299" t="s">
        <v>2396</v>
      </c>
      <c r="B59" s="298" t="s">
        <v>350</v>
      </c>
      <c r="C59" s="344">
        <v>47</v>
      </c>
      <c r="D59" s="295"/>
      <c r="E59" s="295"/>
      <c r="F59" s="297" t="str">
        <f t="shared" si="2"/>
        <v>-</v>
      </c>
    </row>
    <row r="60" spans="1:6" s="4" customFormat="1" ht="14.1" customHeight="1" x14ac:dyDescent="0.25">
      <c r="A60" s="299" t="s">
        <v>2397</v>
      </c>
      <c r="B60" s="298" t="s">
        <v>2398</v>
      </c>
      <c r="C60" s="344">
        <v>48</v>
      </c>
      <c r="D60" s="295"/>
      <c r="E60" s="295"/>
      <c r="F60" s="297" t="str">
        <f t="shared" si="2"/>
        <v>-</v>
      </c>
    </row>
    <row r="61" spans="1:6" s="4" customFormat="1" ht="14.1" customHeight="1" x14ac:dyDescent="0.25">
      <c r="A61" s="299" t="s">
        <v>2399</v>
      </c>
      <c r="B61" s="298" t="s">
        <v>161</v>
      </c>
      <c r="C61" s="344">
        <v>49</v>
      </c>
      <c r="D61" s="295"/>
      <c r="E61" s="295"/>
      <c r="F61" s="297" t="str">
        <f t="shared" si="2"/>
        <v>-</v>
      </c>
    </row>
    <row r="62" spans="1:6" s="4" customFormat="1" ht="14.1" customHeight="1" x14ac:dyDescent="0.25">
      <c r="A62" s="299" t="s">
        <v>162</v>
      </c>
      <c r="B62" s="298" t="s">
        <v>163</v>
      </c>
      <c r="C62" s="344">
        <v>50</v>
      </c>
      <c r="D62" s="295"/>
      <c r="E62" s="295"/>
      <c r="F62" s="297" t="str">
        <f t="shared" si="2"/>
        <v>-</v>
      </c>
    </row>
    <row r="63" spans="1:6" s="4" customFormat="1" ht="14.1" customHeight="1" x14ac:dyDescent="0.25">
      <c r="A63" s="299" t="s">
        <v>3455</v>
      </c>
      <c r="B63" s="298" t="s">
        <v>2713</v>
      </c>
      <c r="C63" s="344">
        <v>51</v>
      </c>
      <c r="D63" s="295"/>
      <c r="E63" s="295"/>
      <c r="F63" s="297" t="str">
        <f t="shared" si="2"/>
        <v>-</v>
      </c>
    </row>
    <row r="64" spans="1:6" s="4" customFormat="1" ht="14.1" customHeight="1" x14ac:dyDescent="0.25">
      <c r="A64" s="299" t="s">
        <v>164</v>
      </c>
      <c r="B64" s="298" t="s">
        <v>165</v>
      </c>
      <c r="C64" s="344">
        <v>52</v>
      </c>
      <c r="D64" s="295"/>
      <c r="E64" s="295"/>
      <c r="F64" s="297" t="str">
        <f t="shared" si="2"/>
        <v>-</v>
      </c>
    </row>
    <row r="65" spans="1:6" s="4" customFormat="1" ht="14.1" customHeight="1" x14ac:dyDescent="0.25">
      <c r="A65" s="299" t="s">
        <v>166</v>
      </c>
      <c r="B65" s="298" t="s">
        <v>167</v>
      </c>
      <c r="C65" s="344">
        <v>53</v>
      </c>
      <c r="D65" s="295"/>
      <c r="E65" s="295"/>
      <c r="F65" s="297" t="str">
        <f t="shared" si="2"/>
        <v>-</v>
      </c>
    </row>
    <row r="66" spans="1:6" s="4" customFormat="1" ht="14.1" customHeight="1" x14ac:dyDescent="0.25">
      <c r="A66" s="299" t="s">
        <v>168</v>
      </c>
      <c r="B66" s="298" t="s">
        <v>169</v>
      </c>
      <c r="C66" s="344">
        <v>54</v>
      </c>
      <c r="D66" s="295"/>
      <c r="E66" s="295"/>
      <c r="F66" s="297" t="str">
        <f t="shared" si="2"/>
        <v>-</v>
      </c>
    </row>
    <row r="67" spans="1:6" s="4" customFormat="1" ht="14.1" customHeight="1" x14ac:dyDescent="0.25">
      <c r="A67" s="299" t="s">
        <v>170</v>
      </c>
      <c r="B67" s="298" t="s">
        <v>3090</v>
      </c>
      <c r="C67" s="344">
        <v>55</v>
      </c>
      <c r="D67" s="295"/>
      <c r="E67" s="295"/>
      <c r="F67" s="297" t="str">
        <f t="shared" si="2"/>
        <v>-</v>
      </c>
    </row>
    <row r="68" spans="1:6" s="4" customFormat="1" ht="14.1" customHeight="1" x14ac:dyDescent="0.25">
      <c r="A68" s="299" t="s">
        <v>3091</v>
      </c>
      <c r="B68" s="298" t="s">
        <v>3092</v>
      </c>
      <c r="C68" s="344">
        <v>56</v>
      </c>
      <c r="D68" s="295"/>
      <c r="E68" s="295"/>
      <c r="F68" s="297" t="str">
        <f t="shared" si="2"/>
        <v>-</v>
      </c>
    </row>
    <row r="69" spans="1:6" s="4" customFormat="1" ht="14.1" customHeight="1" x14ac:dyDescent="0.25">
      <c r="A69" s="299" t="s">
        <v>3456</v>
      </c>
      <c r="B69" s="298" t="s">
        <v>2715</v>
      </c>
      <c r="C69" s="344">
        <v>57</v>
      </c>
      <c r="D69" s="295"/>
      <c r="E69" s="295"/>
      <c r="F69" s="297" t="str">
        <f t="shared" si="2"/>
        <v>-</v>
      </c>
    </row>
    <row r="70" spans="1:6" s="4" customFormat="1" ht="14.1" customHeight="1" x14ac:dyDescent="0.25">
      <c r="A70" s="299" t="s">
        <v>3093</v>
      </c>
      <c r="B70" s="298" t="s">
        <v>629</v>
      </c>
      <c r="C70" s="344">
        <v>58</v>
      </c>
      <c r="D70" s="295"/>
      <c r="E70" s="295"/>
      <c r="F70" s="297" t="str">
        <f t="shared" si="2"/>
        <v>-</v>
      </c>
    </row>
    <row r="71" spans="1:6" s="4" customFormat="1" ht="14.1" customHeight="1" x14ac:dyDescent="0.25">
      <c r="A71" s="299" t="s">
        <v>1476</v>
      </c>
      <c r="B71" s="298" t="s">
        <v>1477</v>
      </c>
      <c r="C71" s="344">
        <v>59</v>
      </c>
      <c r="D71" s="295"/>
      <c r="E71" s="295"/>
      <c r="F71" s="297" t="str">
        <f t="shared" si="2"/>
        <v>-</v>
      </c>
    </row>
    <row r="72" spans="1:6" s="4" customFormat="1" ht="14.1" customHeight="1" x14ac:dyDescent="0.25">
      <c r="A72" s="299" t="s">
        <v>703</v>
      </c>
      <c r="B72" s="298" t="s">
        <v>704</v>
      </c>
      <c r="C72" s="344">
        <v>60</v>
      </c>
      <c r="D72" s="295"/>
      <c r="E72" s="295"/>
      <c r="F72" s="297" t="str">
        <f t="shared" si="2"/>
        <v>-</v>
      </c>
    </row>
    <row r="73" spans="1:6" s="4" customFormat="1" ht="14.1" customHeight="1" x14ac:dyDescent="0.25">
      <c r="A73" s="299" t="s">
        <v>705</v>
      </c>
      <c r="B73" s="298" t="s">
        <v>706</v>
      </c>
      <c r="C73" s="344">
        <v>61</v>
      </c>
      <c r="D73" s="295"/>
      <c r="E73" s="295"/>
      <c r="F73" s="297" t="str">
        <f t="shared" si="2"/>
        <v>-</v>
      </c>
    </row>
    <row r="74" spans="1:6" s="4" customFormat="1" ht="14.1" customHeight="1" x14ac:dyDescent="0.25">
      <c r="A74" s="299" t="s">
        <v>707</v>
      </c>
      <c r="B74" s="298" t="s">
        <v>708</v>
      </c>
      <c r="C74" s="344">
        <v>62</v>
      </c>
      <c r="D74" s="295"/>
      <c r="E74" s="295"/>
      <c r="F74" s="297" t="str">
        <f t="shared" si="2"/>
        <v>-</v>
      </c>
    </row>
    <row r="75" spans="1:6" s="4" customFormat="1" ht="14.1" customHeight="1" x14ac:dyDescent="0.25">
      <c r="A75" s="299" t="s">
        <v>709</v>
      </c>
      <c r="B75" s="298" t="s">
        <v>710</v>
      </c>
      <c r="C75" s="344">
        <v>63</v>
      </c>
      <c r="D75" s="295"/>
      <c r="E75" s="295"/>
      <c r="F75" s="297" t="str">
        <f t="shared" si="2"/>
        <v>-</v>
      </c>
    </row>
    <row r="76" spans="1:6" s="4" customFormat="1" ht="14.1" customHeight="1" x14ac:dyDescent="0.25">
      <c r="A76" s="299" t="s">
        <v>4098</v>
      </c>
      <c r="B76" s="298" t="s">
        <v>3658</v>
      </c>
      <c r="C76" s="344">
        <v>64</v>
      </c>
      <c r="D76" s="295"/>
      <c r="E76" s="295"/>
      <c r="F76" s="297" t="str">
        <f t="shared" si="2"/>
        <v>-</v>
      </c>
    </row>
    <row r="77" spans="1:6" s="4" customFormat="1" ht="14.1" customHeight="1" x14ac:dyDescent="0.25">
      <c r="A77" s="299" t="s">
        <v>3457</v>
      </c>
      <c r="B77" s="300" t="s">
        <v>1842</v>
      </c>
      <c r="C77" s="344">
        <v>65</v>
      </c>
      <c r="D77" s="295"/>
      <c r="E77" s="295"/>
      <c r="F77" s="297" t="str">
        <f t="shared" si="2"/>
        <v>-</v>
      </c>
    </row>
    <row r="78" spans="1:6" s="4" customFormat="1" ht="14.1" customHeight="1" x14ac:dyDescent="0.25">
      <c r="A78" s="299" t="s">
        <v>3458</v>
      </c>
      <c r="B78" s="300" t="s">
        <v>1843</v>
      </c>
      <c r="C78" s="344">
        <v>66</v>
      </c>
      <c r="D78" s="295"/>
      <c r="E78" s="295"/>
      <c r="F78" s="297" t="str">
        <f t="shared" si="2"/>
        <v>-</v>
      </c>
    </row>
    <row r="79" spans="1:6" s="4" customFormat="1" ht="14.1" customHeight="1" x14ac:dyDescent="0.25">
      <c r="A79" s="299" t="s">
        <v>3459</v>
      </c>
      <c r="B79" s="300" t="s">
        <v>2740</v>
      </c>
      <c r="C79" s="344">
        <v>67</v>
      </c>
      <c r="D79" s="295"/>
      <c r="E79" s="295"/>
      <c r="F79" s="297" t="str">
        <f t="shared" si="2"/>
        <v>-</v>
      </c>
    </row>
    <row r="80" spans="1:6" s="4" customFormat="1" ht="14.1" customHeight="1" x14ac:dyDescent="0.25">
      <c r="A80" s="299" t="s">
        <v>3460</v>
      </c>
      <c r="B80" s="300" t="s">
        <v>4102</v>
      </c>
      <c r="C80" s="344">
        <v>68</v>
      </c>
      <c r="D80" s="295"/>
      <c r="E80" s="295"/>
      <c r="F80" s="297" t="str">
        <f t="shared" si="2"/>
        <v>-</v>
      </c>
    </row>
    <row r="81" spans="1:6" s="4" customFormat="1" ht="14.1" customHeight="1" x14ac:dyDescent="0.25">
      <c r="A81" s="299" t="s">
        <v>3461</v>
      </c>
      <c r="B81" s="298" t="s">
        <v>312</v>
      </c>
      <c r="C81" s="344">
        <v>69</v>
      </c>
      <c r="D81" s="295"/>
      <c r="E81" s="295"/>
      <c r="F81" s="297" t="str">
        <f t="shared" si="2"/>
        <v>-</v>
      </c>
    </row>
    <row r="82" spans="1:6" s="4" customFormat="1" ht="14.1" customHeight="1" x14ac:dyDescent="0.25">
      <c r="A82" s="299" t="s">
        <v>4459</v>
      </c>
      <c r="B82" s="298" t="s">
        <v>630</v>
      </c>
      <c r="C82" s="344">
        <v>70</v>
      </c>
      <c r="D82" s="295"/>
      <c r="E82" s="295"/>
      <c r="F82" s="297" t="str">
        <f t="shared" si="2"/>
        <v>-</v>
      </c>
    </row>
    <row r="83" spans="1:6" s="4" customFormat="1" ht="14.1" customHeight="1" x14ac:dyDescent="0.25">
      <c r="A83" s="299" t="s">
        <v>697</v>
      </c>
      <c r="B83" s="298" t="s">
        <v>2455</v>
      </c>
      <c r="C83" s="344">
        <v>71</v>
      </c>
      <c r="D83" s="295"/>
      <c r="E83" s="295"/>
      <c r="F83" s="297" t="str">
        <f t="shared" si="2"/>
        <v>-</v>
      </c>
    </row>
    <row r="84" spans="1:6" s="4" customFormat="1" ht="14.1" customHeight="1" x14ac:dyDescent="0.25">
      <c r="A84" s="299" t="s">
        <v>698</v>
      </c>
      <c r="B84" s="298" t="s">
        <v>699</v>
      </c>
      <c r="C84" s="344">
        <v>72</v>
      </c>
      <c r="D84" s="295"/>
      <c r="E84" s="295"/>
      <c r="F84" s="297" t="str">
        <f t="shared" si="2"/>
        <v>-</v>
      </c>
    </row>
    <row r="85" spans="1:6" s="4" customFormat="1" ht="14.1" customHeight="1" x14ac:dyDescent="0.25">
      <c r="A85" s="299" t="s">
        <v>700</v>
      </c>
      <c r="B85" s="298" t="s">
        <v>631</v>
      </c>
      <c r="C85" s="344">
        <v>73</v>
      </c>
      <c r="D85" s="295"/>
      <c r="E85" s="295"/>
      <c r="F85" s="297" t="str">
        <f t="shared" si="2"/>
        <v>-</v>
      </c>
    </row>
    <row r="86" spans="1:6" s="4" customFormat="1" ht="14.1" customHeight="1" x14ac:dyDescent="0.25">
      <c r="A86" s="299" t="s">
        <v>4465</v>
      </c>
      <c r="B86" s="298" t="s">
        <v>2386</v>
      </c>
      <c r="C86" s="344">
        <v>74</v>
      </c>
      <c r="D86" s="295"/>
      <c r="E86" s="295"/>
      <c r="F86" s="297" t="str">
        <f t="shared" si="2"/>
        <v>-</v>
      </c>
    </row>
    <row r="87" spans="1:6" s="4" customFormat="1" ht="14.1" customHeight="1" x14ac:dyDescent="0.25">
      <c r="A87" s="299" t="s">
        <v>4466</v>
      </c>
      <c r="B87" s="298" t="s">
        <v>2387</v>
      </c>
      <c r="C87" s="344">
        <v>75</v>
      </c>
      <c r="D87" s="295"/>
      <c r="E87" s="295"/>
      <c r="F87" s="297" t="str">
        <f t="shared" si="2"/>
        <v>-</v>
      </c>
    </row>
    <row r="88" spans="1:6" s="4" customFormat="1" ht="14.1" customHeight="1" x14ac:dyDescent="0.25">
      <c r="A88" s="299" t="s">
        <v>4467</v>
      </c>
      <c r="B88" s="298" t="s">
        <v>107</v>
      </c>
      <c r="C88" s="344">
        <v>76</v>
      </c>
      <c r="D88" s="295"/>
      <c r="E88" s="295"/>
      <c r="F88" s="297" t="str">
        <f t="shared" si="2"/>
        <v>-</v>
      </c>
    </row>
    <row r="89" spans="1:6" s="4" customFormat="1" ht="14.1" customHeight="1" x14ac:dyDescent="0.25">
      <c r="A89" s="299" t="s">
        <v>4468</v>
      </c>
      <c r="B89" s="298" t="s">
        <v>2388</v>
      </c>
      <c r="C89" s="344">
        <v>77</v>
      </c>
      <c r="D89" s="295"/>
      <c r="E89" s="295"/>
      <c r="F89" s="297" t="str">
        <f t="shared" si="2"/>
        <v>-</v>
      </c>
    </row>
    <row r="90" spans="1:6" s="4" customFormat="1" ht="14.1" customHeight="1" x14ac:dyDescent="0.25">
      <c r="A90" s="299" t="s">
        <v>4469</v>
      </c>
      <c r="B90" s="298" t="s">
        <v>632</v>
      </c>
      <c r="C90" s="344">
        <v>78</v>
      </c>
      <c r="D90" s="295"/>
      <c r="E90" s="295"/>
      <c r="F90" s="297" t="str">
        <f t="shared" si="2"/>
        <v>-</v>
      </c>
    </row>
    <row r="91" spans="1:6" s="4" customFormat="1" ht="14.1" customHeight="1" x14ac:dyDescent="0.25">
      <c r="A91" s="299" t="s">
        <v>4471</v>
      </c>
      <c r="B91" s="298" t="s">
        <v>633</v>
      </c>
      <c r="C91" s="344">
        <v>79</v>
      </c>
      <c r="D91" s="295"/>
      <c r="E91" s="295"/>
      <c r="F91" s="297" t="str">
        <f t="shared" si="2"/>
        <v>-</v>
      </c>
    </row>
    <row r="92" spans="1:6" s="4" customFormat="1" ht="14.1" customHeight="1" x14ac:dyDescent="0.25">
      <c r="A92" s="299" t="s">
        <v>4472</v>
      </c>
      <c r="B92" s="298" t="s">
        <v>3357</v>
      </c>
      <c r="C92" s="344">
        <v>80</v>
      </c>
      <c r="D92" s="295"/>
      <c r="E92" s="295"/>
      <c r="F92" s="297" t="str">
        <f t="shared" si="2"/>
        <v>-</v>
      </c>
    </row>
    <row r="93" spans="1:6" s="4" customFormat="1" ht="14.1" customHeight="1" x14ac:dyDescent="0.25">
      <c r="A93" s="299" t="s">
        <v>4473</v>
      </c>
      <c r="B93" s="298" t="s">
        <v>3358</v>
      </c>
      <c r="C93" s="344">
        <v>81</v>
      </c>
      <c r="D93" s="295"/>
      <c r="E93" s="295"/>
      <c r="F93" s="297" t="str">
        <f t="shared" si="2"/>
        <v>-</v>
      </c>
    </row>
    <row r="94" spans="1:6" s="4" customFormat="1" ht="14.1" customHeight="1" x14ac:dyDescent="0.25">
      <c r="A94" s="299" t="s">
        <v>4475</v>
      </c>
      <c r="B94" s="298" t="s">
        <v>3359</v>
      </c>
      <c r="C94" s="344">
        <v>82</v>
      </c>
      <c r="D94" s="295"/>
      <c r="E94" s="295"/>
      <c r="F94" s="297" t="str">
        <f t="shared" si="2"/>
        <v>-</v>
      </c>
    </row>
    <row r="95" spans="1:6" s="4" customFormat="1" ht="14.1" customHeight="1" x14ac:dyDescent="0.25">
      <c r="A95" s="299" t="s">
        <v>2784</v>
      </c>
      <c r="B95" s="298" t="s">
        <v>3579</v>
      </c>
      <c r="C95" s="344">
        <v>83</v>
      </c>
      <c r="D95" s="295"/>
      <c r="E95" s="295"/>
      <c r="F95" s="297" t="str">
        <f t="shared" si="2"/>
        <v>-</v>
      </c>
    </row>
    <row r="96" spans="1:6" s="4" customFormat="1" ht="14.1" customHeight="1" x14ac:dyDescent="0.25">
      <c r="A96" s="299" t="s">
        <v>3987</v>
      </c>
      <c r="B96" s="311" t="s">
        <v>3580</v>
      </c>
      <c r="C96" s="344">
        <v>84</v>
      </c>
      <c r="D96" s="295"/>
      <c r="E96" s="295"/>
      <c r="F96" s="297" t="str">
        <f t="shared" si="2"/>
        <v>-</v>
      </c>
    </row>
    <row r="97" spans="1:6" s="4" customFormat="1" ht="14.1" customHeight="1" x14ac:dyDescent="0.25">
      <c r="A97" s="299" t="s">
        <v>2864</v>
      </c>
      <c r="B97" s="298" t="s">
        <v>3581</v>
      </c>
      <c r="C97" s="344">
        <v>85</v>
      </c>
      <c r="D97" s="295"/>
      <c r="E97" s="295"/>
      <c r="F97" s="297" t="str">
        <f t="shared" si="2"/>
        <v>-</v>
      </c>
    </row>
    <row r="98" spans="1:6" s="4" customFormat="1" ht="14.1" customHeight="1" x14ac:dyDescent="0.25">
      <c r="A98" s="299" t="s">
        <v>4076</v>
      </c>
      <c r="B98" s="298" t="s">
        <v>3582</v>
      </c>
      <c r="C98" s="344">
        <v>86</v>
      </c>
      <c r="D98" s="295"/>
      <c r="E98" s="295"/>
      <c r="F98" s="297" t="str">
        <f t="shared" si="2"/>
        <v>-</v>
      </c>
    </row>
    <row r="99" spans="1:6" s="4" customFormat="1" ht="14.1" customHeight="1" x14ac:dyDescent="0.25">
      <c r="A99" s="299" t="s">
        <v>3689</v>
      </c>
      <c r="B99" s="298" t="s">
        <v>3583</v>
      </c>
      <c r="C99" s="344">
        <v>87</v>
      </c>
      <c r="D99" s="295"/>
      <c r="E99" s="295"/>
      <c r="F99" s="297" t="str">
        <f t="shared" si="2"/>
        <v>-</v>
      </c>
    </row>
    <row r="100" spans="1:6" s="4" customFormat="1" ht="14.1" customHeight="1" x14ac:dyDescent="0.25">
      <c r="A100" s="299" t="s">
        <v>3691</v>
      </c>
      <c r="B100" s="298" t="s">
        <v>3584</v>
      </c>
      <c r="C100" s="344">
        <v>88</v>
      </c>
      <c r="D100" s="295"/>
      <c r="E100" s="295"/>
      <c r="F100" s="297" t="str">
        <f t="shared" si="2"/>
        <v>-</v>
      </c>
    </row>
    <row r="101" spans="1:6" s="4" customFormat="1" ht="14.1" customHeight="1" x14ac:dyDescent="0.25">
      <c r="A101" s="299" t="s">
        <v>3693</v>
      </c>
      <c r="B101" s="298" t="s">
        <v>3585</v>
      </c>
      <c r="C101" s="344">
        <v>89</v>
      </c>
      <c r="D101" s="295"/>
      <c r="E101" s="295"/>
      <c r="F101" s="297" t="str">
        <f t="shared" si="2"/>
        <v>-</v>
      </c>
    </row>
    <row r="102" spans="1:6" s="4" customFormat="1" ht="14.1" customHeight="1" x14ac:dyDescent="0.25">
      <c r="A102" s="312"/>
      <c r="B102" s="313" t="s">
        <v>3462</v>
      </c>
      <c r="C102" s="346">
        <v>90</v>
      </c>
      <c r="D102" s="314">
        <f>SUM(D41:D101)</f>
        <v>0</v>
      </c>
      <c r="E102" s="224">
        <f>SUM(E41:E101)</f>
        <v>0</v>
      </c>
      <c r="F102" s="301" t="str">
        <f>IF(D102&gt;0,IF(E102/D102&gt;=100,"&gt;&gt;100",E102/D102*100),"-")</f>
        <v>-</v>
      </c>
    </row>
    <row r="103" spans="1:6" ht="18" customHeight="1" x14ac:dyDescent="0.25">
      <c r="A103" s="591" t="s">
        <v>199</v>
      </c>
      <c r="B103" s="592"/>
      <c r="C103" s="592"/>
      <c r="D103" s="593"/>
    </row>
    <row r="104" spans="1:6" ht="30.6" x14ac:dyDescent="0.25">
      <c r="A104" s="19" t="s">
        <v>4069</v>
      </c>
      <c r="B104" s="20" t="s">
        <v>1770</v>
      </c>
      <c r="C104" s="21" t="s">
        <v>4501</v>
      </c>
      <c r="D104" s="307" t="s">
        <v>385</v>
      </c>
      <c r="E104" s="319"/>
    </row>
    <row r="105" spans="1:6" ht="12" customHeight="1" x14ac:dyDescent="0.25">
      <c r="A105" s="107">
        <v>1</v>
      </c>
      <c r="B105" s="109">
        <v>2</v>
      </c>
      <c r="C105" s="109">
        <v>3</v>
      </c>
      <c r="D105" s="308">
        <v>4</v>
      </c>
      <c r="E105" s="319"/>
    </row>
    <row r="106" spans="1:6" ht="24.9" customHeight="1" x14ac:dyDescent="0.25">
      <c r="A106" s="315"/>
      <c r="B106" s="316" t="s">
        <v>4290</v>
      </c>
      <c r="C106" s="343">
        <v>91</v>
      </c>
      <c r="D106" s="287">
        <f>SUM(D107:D126)</f>
        <v>0</v>
      </c>
      <c r="E106" s="319"/>
    </row>
    <row r="107" spans="1:6" ht="14.1" customHeight="1" x14ac:dyDescent="0.25">
      <c r="A107" s="166">
        <v>13411</v>
      </c>
      <c r="B107" s="183" t="s">
        <v>387</v>
      </c>
      <c r="C107" s="344">
        <v>92</v>
      </c>
      <c r="D107" s="400"/>
      <c r="E107" s="319"/>
    </row>
    <row r="108" spans="1:6" ht="14.1" customHeight="1" x14ac:dyDescent="0.25">
      <c r="A108" s="166">
        <v>13412</v>
      </c>
      <c r="B108" s="183" t="s">
        <v>388</v>
      </c>
      <c r="C108" s="344">
        <v>93</v>
      </c>
      <c r="D108" s="400"/>
      <c r="E108" s="319"/>
    </row>
    <row r="109" spans="1:6" ht="14.1" customHeight="1" x14ac:dyDescent="0.25">
      <c r="A109" s="166">
        <v>13631</v>
      </c>
      <c r="B109" s="183" t="s">
        <v>389</v>
      </c>
      <c r="C109" s="344">
        <v>94</v>
      </c>
      <c r="D109" s="400"/>
      <c r="E109" s="319"/>
    </row>
    <row r="110" spans="1:6" ht="14.1" customHeight="1" x14ac:dyDescent="0.25">
      <c r="A110" s="166">
        <v>13632</v>
      </c>
      <c r="B110" s="183" t="s">
        <v>390</v>
      </c>
      <c r="C110" s="344">
        <v>95</v>
      </c>
      <c r="D110" s="400"/>
      <c r="E110" s="319"/>
    </row>
    <row r="111" spans="1:6" ht="14.1" customHeight="1" x14ac:dyDescent="0.25">
      <c r="A111" s="166">
        <v>13641</v>
      </c>
      <c r="B111" s="183" t="s">
        <v>391</v>
      </c>
      <c r="C111" s="344">
        <v>96</v>
      </c>
      <c r="D111" s="400"/>
      <c r="E111" s="319"/>
    </row>
    <row r="112" spans="1:6" ht="14.1" customHeight="1" x14ac:dyDescent="0.25">
      <c r="A112" s="166">
        <v>13642</v>
      </c>
      <c r="B112" s="183" t="s">
        <v>392</v>
      </c>
      <c r="C112" s="344">
        <v>97</v>
      </c>
      <c r="D112" s="400"/>
      <c r="E112" s="319"/>
    </row>
    <row r="113" spans="1:5" ht="14.1" customHeight="1" x14ac:dyDescent="0.25">
      <c r="A113" s="166">
        <v>13711</v>
      </c>
      <c r="B113" s="183" t="s">
        <v>393</v>
      </c>
      <c r="C113" s="344">
        <v>98</v>
      </c>
      <c r="D113" s="400"/>
      <c r="E113" s="319"/>
    </row>
    <row r="114" spans="1:5" ht="14.1" customHeight="1" x14ac:dyDescent="0.25">
      <c r="A114" s="166">
        <v>13712</v>
      </c>
      <c r="B114" s="183" t="s">
        <v>394</v>
      </c>
      <c r="C114" s="344">
        <v>99</v>
      </c>
      <c r="D114" s="400"/>
      <c r="E114" s="319"/>
    </row>
    <row r="115" spans="1:5" ht="14.1" customHeight="1" x14ac:dyDescent="0.25">
      <c r="A115" s="166">
        <v>13721</v>
      </c>
      <c r="B115" s="183" t="s">
        <v>395</v>
      </c>
      <c r="C115" s="344">
        <v>100</v>
      </c>
      <c r="D115" s="400"/>
      <c r="E115" s="319"/>
    </row>
    <row r="116" spans="1:5" ht="14.1" customHeight="1" x14ac:dyDescent="0.25">
      <c r="A116" s="166">
        <v>13722</v>
      </c>
      <c r="B116" s="183" t="s">
        <v>1442</v>
      </c>
      <c r="C116" s="344">
        <v>101</v>
      </c>
      <c r="D116" s="400"/>
      <c r="E116" s="319"/>
    </row>
    <row r="117" spans="1:5" ht="14.1" customHeight="1" x14ac:dyDescent="0.25">
      <c r="A117" s="166">
        <v>13731</v>
      </c>
      <c r="B117" s="183" t="s">
        <v>1443</v>
      </c>
      <c r="C117" s="344">
        <v>102</v>
      </c>
      <c r="D117" s="400"/>
      <c r="E117" s="319"/>
    </row>
    <row r="118" spans="1:5" ht="14.1" customHeight="1" x14ac:dyDescent="0.25">
      <c r="A118" s="166">
        <v>13732</v>
      </c>
      <c r="B118" s="183" t="s">
        <v>1444</v>
      </c>
      <c r="C118" s="344">
        <v>103</v>
      </c>
      <c r="D118" s="400"/>
      <c r="E118" s="319"/>
    </row>
    <row r="119" spans="1:5" ht="14.1" customHeight="1" x14ac:dyDescent="0.25">
      <c r="A119" s="166">
        <v>13741</v>
      </c>
      <c r="B119" s="183" t="s">
        <v>1445</v>
      </c>
      <c r="C119" s="344">
        <v>104</v>
      </c>
      <c r="D119" s="400"/>
      <c r="E119" s="319"/>
    </row>
    <row r="120" spans="1:5" ht="14.1" customHeight="1" x14ac:dyDescent="0.25">
      <c r="A120" s="166">
        <v>13742</v>
      </c>
      <c r="B120" s="183" t="s">
        <v>1446</v>
      </c>
      <c r="C120" s="344">
        <v>105</v>
      </c>
      <c r="D120" s="400"/>
      <c r="E120" s="319"/>
    </row>
    <row r="121" spans="1:5" ht="14.1" customHeight="1" x14ac:dyDescent="0.25">
      <c r="A121" s="166">
        <v>13751</v>
      </c>
      <c r="B121" s="183" t="s">
        <v>1447</v>
      </c>
      <c r="C121" s="344">
        <v>106</v>
      </c>
      <c r="D121" s="400"/>
      <c r="E121" s="319"/>
    </row>
    <row r="122" spans="1:5" ht="14.1" customHeight="1" x14ac:dyDescent="0.25">
      <c r="A122" s="166">
        <v>13752</v>
      </c>
      <c r="B122" s="183" t="s">
        <v>1448</v>
      </c>
      <c r="C122" s="344">
        <v>107</v>
      </c>
      <c r="D122" s="400"/>
      <c r="E122" s="319"/>
    </row>
    <row r="123" spans="1:5" ht="14.1" customHeight="1" x14ac:dyDescent="0.25">
      <c r="A123" s="166">
        <v>13761</v>
      </c>
      <c r="B123" s="170" t="s">
        <v>1449</v>
      </c>
      <c r="C123" s="344">
        <v>108</v>
      </c>
      <c r="D123" s="400"/>
      <c r="E123" s="319"/>
    </row>
    <row r="124" spans="1:5" ht="14.1" customHeight="1" x14ac:dyDescent="0.25">
      <c r="A124" s="166">
        <v>13762</v>
      </c>
      <c r="B124" s="170" t="s">
        <v>1450</v>
      </c>
      <c r="C124" s="344">
        <v>109</v>
      </c>
      <c r="D124" s="400"/>
      <c r="E124" s="319"/>
    </row>
    <row r="125" spans="1:5" ht="14.1" customHeight="1" x14ac:dyDescent="0.25">
      <c r="A125" s="166">
        <v>13771</v>
      </c>
      <c r="B125" s="170" t="s">
        <v>1451</v>
      </c>
      <c r="C125" s="344">
        <v>110</v>
      </c>
      <c r="D125" s="400"/>
      <c r="E125" s="319"/>
    </row>
    <row r="126" spans="1:5" ht="14.1" customHeight="1" x14ac:dyDescent="0.25">
      <c r="A126" s="166">
        <v>13772</v>
      </c>
      <c r="B126" s="170" t="s">
        <v>1452</v>
      </c>
      <c r="C126" s="344">
        <v>111</v>
      </c>
      <c r="D126" s="400"/>
      <c r="E126" s="319"/>
    </row>
    <row r="127" spans="1:5" ht="14.1" customHeight="1" x14ac:dyDescent="0.25">
      <c r="A127" s="166">
        <v>267</v>
      </c>
      <c r="B127" s="317" t="s">
        <v>4291</v>
      </c>
      <c r="C127" s="344">
        <v>112</v>
      </c>
      <c r="D127" s="169">
        <f>SUM(D128:D141)</f>
        <v>0</v>
      </c>
      <c r="E127" s="319"/>
    </row>
    <row r="128" spans="1:5" ht="14.1" customHeight="1" x14ac:dyDescent="0.25">
      <c r="A128" s="166">
        <v>26711</v>
      </c>
      <c r="B128" s="183" t="s">
        <v>1454</v>
      </c>
      <c r="C128" s="344">
        <v>113</v>
      </c>
      <c r="D128" s="400"/>
      <c r="E128" s="319"/>
    </row>
    <row r="129" spans="1:5" ht="14.1" customHeight="1" x14ac:dyDescent="0.25">
      <c r="A129" s="166">
        <v>26712</v>
      </c>
      <c r="B129" s="183" t="s">
        <v>1455</v>
      </c>
      <c r="C129" s="344">
        <v>114</v>
      </c>
      <c r="D129" s="400"/>
      <c r="E129" s="319"/>
    </row>
    <row r="130" spans="1:5" ht="14.1" customHeight="1" x14ac:dyDescent="0.25">
      <c r="A130" s="166">
        <v>26721</v>
      </c>
      <c r="B130" s="183" t="s">
        <v>1456</v>
      </c>
      <c r="C130" s="344">
        <v>115</v>
      </c>
      <c r="D130" s="400"/>
      <c r="E130" s="319"/>
    </row>
    <row r="131" spans="1:5" ht="14.1" customHeight="1" x14ac:dyDescent="0.25">
      <c r="A131" s="166">
        <v>26722</v>
      </c>
      <c r="B131" s="183" t="s">
        <v>1457</v>
      </c>
      <c r="C131" s="344">
        <v>116</v>
      </c>
      <c r="D131" s="400"/>
      <c r="E131" s="319"/>
    </row>
    <row r="132" spans="1:5" ht="14.1" customHeight="1" x14ac:dyDescent="0.25">
      <c r="A132" s="166">
        <v>26731</v>
      </c>
      <c r="B132" s="183" t="s">
        <v>1458</v>
      </c>
      <c r="C132" s="344">
        <v>117</v>
      </c>
      <c r="D132" s="400"/>
      <c r="E132" s="319"/>
    </row>
    <row r="133" spans="1:5" ht="14.1" customHeight="1" x14ac:dyDescent="0.25">
      <c r="A133" s="166">
        <v>26732</v>
      </c>
      <c r="B133" s="183" t="s">
        <v>1459</v>
      </c>
      <c r="C133" s="344">
        <v>118</v>
      </c>
      <c r="D133" s="400"/>
      <c r="E133" s="319"/>
    </row>
    <row r="134" spans="1:5" ht="14.1" customHeight="1" x14ac:dyDescent="0.25">
      <c r="A134" s="166">
        <v>26741</v>
      </c>
      <c r="B134" s="183" t="s">
        <v>1460</v>
      </c>
      <c r="C134" s="344">
        <v>119</v>
      </c>
      <c r="D134" s="400"/>
      <c r="E134" s="319"/>
    </row>
    <row r="135" spans="1:5" ht="14.1" customHeight="1" x14ac:dyDescent="0.25">
      <c r="A135" s="166">
        <v>26742</v>
      </c>
      <c r="B135" s="183" t="s">
        <v>1461</v>
      </c>
      <c r="C135" s="344">
        <v>120</v>
      </c>
      <c r="D135" s="400"/>
      <c r="E135" s="319"/>
    </row>
    <row r="136" spans="1:5" ht="14.1" customHeight="1" x14ac:dyDescent="0.25">
      <c r="A136" s="166">
        <v>26751</v>
      </c>
      <c r="B136" s="183" t="s">
        <v>1462</v>
      </c>
      <c r="C136" s="344">
        <v>121</v>
      </c>
      <c r="D136" s="400"/>
      <c r="E136" s="319"/>
    </row>
    <row r="137" spans="1:5" ht="14.1" customHeight="1" x14ac:dyDescent="0.25">
      <c r="A137" s="166">
        <v>26752</v>
      </c>
      <c r="B137" s="183" t="s">
        <v>1463</v>
      </c>
      <c r="C137" s="344">
        <v>122</v>
      </c>
      <c r="D137" s="400"/>
      <c r="E137" s="319"/>
    </row>
    <row r="138" spans="1:5" ht="14.1" customHeight="1" x14ac:dyDescent="0.25">
      <c r="A138" s="166">
        <v>26761</v>
      </c>
      <c r="B138" s="170" t="s">
        <v>1464</v>
      </c>
      <c r="C138" s="344">
        <v>123</v>
      </c>
      <c r="D138" s="400"/>
      <c r="E138" s="319"/>
    </row>
    <row r="139" spans="1:5" ht="14.1" customHeight="1" x14ac:dyDescent="0.25">
      <c r="A139" s="166">
        <v>26762</v>
      </c>
      <c r="B139" s="170" t="s">
        <v>1465</v>
      </c>
      <c r="C139" s="344">
        <v>124</v>
      </c>
      <c r="D139" s="400"/>
      <c r="E139" s="319"/>
    </row>
    <row r="140" spans="1:5" ht="24.9" customHeight="1" x14ac:dyDescent="0.25">
      <c r="A140" s="166">
        <v>26771</v>
      </c>
      <c r="B140" s="167" t="s">
        <v>4146</v>
      </c>
      <c r="C140" s="344">
        <v>125</v>
      </c>
      <c r="D140" s="400"/>
      <c r="E140" s="319"/>
    </row>
    <row r="141" spans="1:5" ht="24.9" customHeight="1" x14ac:dyDescent="0.25">
      <c r="A141" s="318">
        <v>26772</v>
      </c>
      <c r="B141" s="290" t="s">
        <v>4147</v>
      </c>
      <c r="C141" s="345">
        <v>126</v>
      </c>
      <c r="D141" s="401"/>
      <c r="E141" s="319"/>
    </row>
    <row r="142" spans="1:5" ht="5.0999999999999996" customHeight="1" x14ac:dyDescent="0.25"/>
  </sheetData>
  <sheetProtection password="C79A" sheet="1" objects="1" scenarios="1"/>
  <mergeCells count="11">
    <mergeCell ref="A103:D103"/>
    <mergeCell ref="B4:F4"/>
    <mergeCell ref="B5:F5"/>
    <mergeCell ref="B6:F6"/>
    <mergeCell ref="B7:F7"/>
    <mergeCell ref="A1:C1"/>
    <mergeCell ref="D1:F1"/>
    <mergeCell ref="A40:F40"/>
    <mergeCell ref="A2:D2"/>
    <mergeCell ref="E2:F2"/>
    <mergeCell ref="A3:D3"/>
  </mergeCells>
  <phoneticPr fontId="10" type="noConversion"/>
  <conditionalFormatting sqref="D106 D127 D12:E39 D41:E102">
    <cfRule type="cellIs" dxfId="4" priority="1" stopIfTrue="1" operator="lessThan">
      <formula>0</formula>
    </cfRule>
  </conditionalFormatting>
  <conditionalFormatting sqref="C9:D9">
    <cfRule type="cellIs" dxfId="3"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39 D41:E102 D106:D141">
      <formula1>9999999999</formula1>
    </dataValidation>
  </dataValidations>
  <hyperlinks>
    <hyperlink ref="D1:F1" location="Kont!A292" tooltip="Kontrole obrasca S-PR-RAS" display="Kontrole ––––&gt;"/>
    <hyperlink ref="A1:C1" location="RefStr!A1" tooltip="Povratak na Referentnu stranicu" display="&lt;–––– Povratak na RefStr"/>
  </hyperlinks>
  <printOptions horizontalCentered="1"/>
  <pageMargins left="0.39370078740157483" right="0.39370078740157483" top="0.59055118110236227" bottom="0.78740157480314965" header="0.55118110236220474" footer="0.59055118110236227"/>
  <pageSetup paperSize="9" scale="78" fitToHeight="0" orientation="portrait" r:id="rId1"/>
  <headerFooter alignWithMargins="0">
    <oddFooter>&amp;RStranica: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U324"/>
  <sheetViews>
    <sheetView showGridLines="0" showRowColHeaders="0" topLeftCell="A206" workbookViewId="0">
      <selection activeCell="A253" sqref="A253"/>
    </sheetView>
  </sheetViews>
  <sheetFormatPr defaultColWidth="0" defaultRowHeight="13.2" zeroHeight="1" x14ac:dyDescent="0.25"/>
  <cols>
    <col min="1" max="1" width="4.44140625" style="55" customWidth="1"/>
    <col min="2" max="2" width="17.109375" style="50" customWidth="1"/>
    <col min="3" max="3" width="85.6640625" style="51" customWidth="1"/>
    <col min="4" max="4" width="0.88671875" style="57" customWidth="1"/>
    <col min="5" max="6" width="10.6640625" style="54" hidden="1" customWidth="1"/>
    <col min="7" max="11" width="9.109375" style="54" hidden="1" customWidth="1"/>
    <col min="12" max="16384" width="9.109375" style="6" hidden="1"/>
  </cols>
  <sheetData>
    <row r="1" spans="1:21" ht="15" customHeight="1" x14ac:dyDescent="0.25">
      <c r="A1" s="600" t="s">
        <v>4155</v>
      </c>
      <c r="B1" s="600"/>
      <c r="C1" s="600"/>
      <c r="D1" s="57" t="s">
        <v>4491</v>
      </c>
      <c r="E1" s="54" t="s">
        <v>1356</v>
      </c>
      <c r="F1" s="120" t="s">
        <v>314</v>
      </c>
      <c r="G1" s="120" t="s">
        <v>315</v>
      </c>
      <c r="H1" s="120" t="s">
        <v>316</v>
      </c>
      <c r="I1" s="120" t="s">
        <v>280</v>
      </c>
      <c r="J1" s="120" t="s">
        <v>317</v>
      </c>
      <c r="K1" s="120" t="s">
        <v>318</v>
      </c>
      <c r="L1" s="120" t="s">
        <v>319</v>
      </c>
      <c r="M1" s="120" t="s">
        <v>320</v>
      </c>
      <c r="N1" s="120" t="s">
        <v>321</v>
      </c>
      <c r="O1" s="120" t="s">
        <v>322</v>
      </c>
      <c r="P1" s="120" t="s">
        <v>1940</v>
      </c>
      <c r="Q1" s="120" t="s">
        <v>845</v>
      </c>
      <c r="U1" s="6" t="s">
        <v>844</v>
      </c>
    </row>
    <row r="2" spans="1:21" ht="24.9" customHeight="1" x14ac:dyDescent="0.25">
      <c r="A2" s="56" t="s">
        <v>3294</v>
      </c>
      <c r="B2" s="52" t="s">
        <v>4503</v>
      </c>
      <c r="C2" s="52" t="s">
        <v>4504</v>
      </c>
      <c r="E2" s="54">
        <f>SUM(E3+E26+E237+E261+E265+E16+E270+E300+E319)</f>
        <v>0</v>
      </c>
      <c r="F2" s="120">
        <f>IF(RefStr!F6&lt;&gt;"",INT(VALUE(MID(RefStr!F6,1,4))),0)</f>
        <v>2014</v>
      </c>
      <c r="G2" s="120">
        <f>IF(RefStr!F6&lt;&gt;"",INT(VALUE(MID(RefStr!F6,6,2))),0)</f>
        <v>12</v>
      </c>
      <c r="H2" s="120">
        <f>RefStr!B16</f>
        <v>22</v>
      </c>
      <c r="I2" s="121" t="str">
        <f>RefStr!B25</f>
        <v>DA</v>
      </c>
      <c r="J2" s="120" t="str">
        <f>RefStr!B27</f>
        <v>DA</v>
      </c>
      <c r="K2" s="120" t="str">
        <f>RefStr!B29</f>
        <v>DA</v>
      </c>
      <c r="L2" s="120" t="str">
        <f>RefStr!B31</f>
        <v>DA</v>
      </c>
      <c r="M2" s="120" t="str">
        <f>RefStr!B33</f>
        <v>DA</v>
      </c>
      <c r="N2" s="120" t="str">
        <f>RefStr!B35</f>
        <v>DA</v>
      </c>
      <c r="O2" s="120" t="str">
        <f>RefStr!B37</f>
        <v>NE</v>
      </c>
      <c r="P2" s="120">
        <f>RefStr!B6</f>
        <v>281186</v>
      </c>
      <c r="Q2" s="120">
        <f>RefStr!B20</f>
        <v>0</v>
      </c>
      <c r="U2" s="132">
        <v>19</v>
      </c>
    </row>
    <row r="3" spans="1:21" ht="20.100000000000001" customHeight="1" x14ac:dyDescent="0.25">
      <c r="A3" s="604" t="s">
        <v>2777</v>
      </c>
      <c r="B3" s="605"/>
      <c r="C3" s="451"/>
      <c r="E3" s="115">
        <f>SUM(E4:E15)</f>
        <v>0</v>
      </c>
      <c r="U3" s="132">
        <v>35</v>
      </c>
    </row>
    <row r="4" spans="1:21" ht="20.100000000000001" customHeight="1" x14ac:dyDescent="0.25">
      <c r="A4" s="152">
        <v>1</v>
      </c>
      <c r="B4" s="153" t="str">
        <f t="shared" ref="B4:B21" si="0">IF(E4=1,"Nije zadovoljena", "Zadovoljena")</f>
        <v>Zadovoljena</v>
      </c>
      <c r="C4" s="405" t="s">
        <v>1052</v>
      </c>
      <c r="D4" s="57">
        <v>0</v>
      </c>
      <c r="E4" s="115">
        <f>IF(F4&lt;&gt;G4,1,0)</f>
        <v>0</v>
      </c>
      <c r="F4" s="54">
        <f>IF(OR(RefStr!B16=11,RefStr!B16=12),1,0)</f>
        <v>0</v>
      </c>
      <c r="G4" s="54">
        <f>IF(RefStr!B20&lt;&gt;0,1,0)</f>
        <v>0</v>
      </c>
      <c r="U4" s="132">
        <v>51</v>
      </c>
    </row>
    <row r="5" spans="1:21" ht="30" customHeight="1" x14ac:dyDescent="0.25">
      <c r="A5" s="154">
        <f t="shared" ref="A5:A21" si="1">1+A4</f>
        <v>2</v>
      </c>
      <c r="B5" s="155" t="str">
        <f t="shared" si="0"/>
        <v>Zadovoljena</v>
      </c>
      <c r="C5" s="406" t="s">
        <v>206</v>
      </c>
      <c r="D5" s="57">
        <v>0</v>
      </c>
      <c r="E5" s="115">
        <f>MAX(F5:G5)</f>
        <v>0</v>
      </c>
      <c r="F5" s="54">
        <f>IF(AND($G$2=3,$H$2=23),1,0)</f>
        <v>0</v>
      </c>
      <c r="G5" s="54">
        <f>IF(AND($G$2=9,$H$2=23),1,0)</f>
        <v>0</v>
      </c>
      <c r="J5" s="6"/>
      <c r="K5" s="6"/>
      <c r="U5" s="132">
        <v>174</v>
      </c>
    </row>
    <row r="6" spans="1:21" ht="51" customHeight="1" x14ac:dyDescent="0.25">
      <c r="A6" s="154">
        <f t="shared" si="1"/>
        <v>3</v>
      </c>
      <c r="B6" s="155" t="str">
        <f t="shared" si="0"/>
        <v>Zadovoljena</v>
      </c>
      <c r="C6" s="404" t="s">
        <v>207</v>
      </c>
      <c r="D6" s="57">
        <v>0</v>
      </c>
      <c r="E6" s="54">
        <f>IF(OR(RefStr!B6=0,RefStr!B8=0,RefStr!F6="",LEN(RefStr!B10)&lt;3,RefStr!B12=0,LEN(RefStr!C12)&lt;2,LEN(RefStr!B14)&lt; 5,RefStr!B16=0,RefStr!B18="",RefStr!B20="",RefStr!B22=0,RefStr!K10="",RefStr!K12=""),1,0)</f>
        <v>0</v>
      </c>
      <c r="F6" s="54" t="s">
        <v>4215</v>
      </c>
      <c r="H6" s="54" t="s">
        <v>4216</v>
      </c>
      <c r="J6" s="54" t="s">
        <v>4217</v>
      </c>
      <c r="L6" s="6" t="s">
        <v>4218</v>
      </c>
      <c r="U6" s="132">
        <v>713</v>
      </c>
    </row>
    <row r="7" spans="1:21" ht="71.400000000000006" x14ac:dyDescent="0.25">
      <c r="A7" s="154">
        <f t="shared" si="1"/>
        <v>4</v>
      </c>
      <c r="B7" s="155" t="str">
        <f t="shared" si="0"/>
        <v>Zadovoljena</v>
      </c>
      <c r="C7" s="404" t="s">
        <v>1050</v>
      </c>
      <c r="E7" s="54">
        <f t="shared" ref="E7:E14" si="2">IF(F7*G7+H7*I7+J7*K7+L7*M7&gt;0,1,0)</f>
        <v>0</v>
      </c>
      <c r="F7" s="122">
        <f>IF(AND($G$2&lt;&gt;3,$G$2&lt;&gt;6,$G$2&lt;&gt;9, $G$2&lt;&gt;12),1,0)</f>
        <v>0</v>
      </c>
      <c r="G7" s="123">
        <f>IF($H$2=11,1,0)</f>
        <v>0</v>
      </c>
      <c r="H7" s="122">
        <f>IF(AND($H$2=11,OR($G$2=3,$G$2=9)),1,0)</f>
        <v>0</v>
      </c>
      <c r="I7" s="123">
        <f>IF(AND($I$2="NE", $J$2="NE",$K$2="NE",$L$2="NE",$M$2="NE",$N$2="NE",$O$2="DA"),0,1)</f>
        <v>1</v>
      </c>
      <c r="J7" s="122">
        <f>IF(AND($H$2=11,$G$2=6),1,0)</f>
        <v>0</v>
      </c>
      <c r="K7" s="123">
        <f>IF(AND($I$2="DA", $J$2="NE",$K$2="NE",$L$2="NE",$M$2="NE",$N$2="NE",$O$2="NE"),0,1)</f>
        <v>1</v>
      </c>
      <c r="L7" s="122">
        <f>IF(AND($H$2=11,$G$2=12),1,0)</f>
        <v>0</v>
      </c>
      <c r="M7" s="123">
        <f>IF(AND($I$2="DA", $J$2="NE",$K$2="NE",$L$2="DA",$M$2="DA",$N$2="NE",$O$2="NE"),0,1)</f>
        <v>1</v>
      </c>
      <c r="U7" s="132">
        <v>721</v>
      </c>
    </row>
    <row r="8" spans="1:21" ht="91.8" x14ac:dyDescent="0.25">
      <c r="A8" s="154">
        <f t="shared" si="1"/>
        <v>5</v>
      </c>
      <c r="B8" s="155" t="str">
        <f t="shared" si="0"/>
        <v>Zadovoljena</v>
      </c>
      <c r="C8" s="404" t="s">
        <v>2419</v>
      </c>
      <c r="E8" s="54">
        <f t="shared" si="2"/>
        <v>0</v>
      </c>
      <c r="F8" s="122">
        <f>IF(AND($H$2=12,$G$2&lt;&gt;3,$G$2&lt;&gt;6,$G$2&lt;&gt;9, $G$2&lt;&gt;12),1,0)</f>
        <v>0</v>
      </c>
      <c r="G8" s="123">
        <f>IF(AND($I$2="NE", $J$2="NE",$K$2="NE",$L$2="NE",$M$2="NE",$N$2="DA",$O$2="NE"),0,1)</f>
        <v>1</v>
      </c>
      <c r="H8" s="122">
        <f>IF(AND($H$2=12,OR($G$2=3,$G$2=9)),1,0)</f>
        <v>0</v>
      </c>
      <c r="I8" s="123">
        <f>IF(AND($I$2="NE", $J$2="NE",$K$2="NE",$L$2="NE",$M$2="NE",$N$2="DA",$O$2="NE"),0,1)</f>
        <v>1</v>
      </c>
      <c r="J8" s="122">
        <f>IF(AND($H$2=12,$G$2=6),1,0)</f>
        <v>0</v>
      </c>
      <c r="K8" s="123">
        <f>IF(OR(AND($I$2="DA", $J$2="NE",$K$2="NE",$L$2="NE",$M$2="NE",$N$2="NE",$O$2="NE"),AND($I$2="NE", $J$2="NE",$K$2="NE",$L$2="NE",$M$2="NE",$N$2="DA",$O$2="NE")),0,1)</f>
        <v>1</v>
      </c>
      <c r="L8" s="122">
        <f>IF(AND($H$2=12,$G$2=12),1,0)</f>
        <v>0</v>
      </c>
      <c r="M8" s="123">
        <f>IF(OR(AND($I$2="NE", $J$2="NE",$K$2="NE",$L$2="NE",$M$2="NE",$N$2="DA",$O$2="NE"),AND($I$2="DA", $J$2="NE",$K$2="DA",$L$2="DA",$M$2="DA",$N$2="NE",$O$2="NE")),0,1)</f>
        <v>1</v>
      </c>
      <c r="U8" s="132">
        <v>748</v>
      </c>
    </row>
    <row r="9" spans="1:21" ht="86.25" customHeight="1" x14ac:dyDescent="0.25">
      <c r="A9" s="154">
        <f t="shared" si="1"/>
        <v>6</v>
      </c>
      <c r="B9" s="155" t="str">
        <f>IF(E9=1,"Nije zadovoljena", "Zadovoljena")</f>
        <v>Zadovoljena</v>
      </c>
      <c r="C9" s="404" t="s">
        <v>3433</v>
      </c>
      <c r="E9" s="54">
        <f>IF(F9*G9+H9*I9+J9*K9+L9*M9&gt;0,1,0)</f>
        <v>0</v>
      </c>
      <c r="F9" s="122">
        <f t="shared" ref="F9:F15" si="3">IF(AND($G$2&lt;&gt;3,$G$2&lt;&gt;6,$G$2&lt;&gt;9, $G$2&lt;&gt;12),1,0)</f>
        <v>0</v>
      </c>
      <c r="G9" s="123">
        <f>IF($H$2=13,1,0)</f>
        <v>0</v>
      </c>
      <c r="H9" s="122">
        <f>IF(AND($H$2=13,OR($G$2=3,$G$2=9)),1,0)</f>
        <v>0</v>
      </c>
      <c r="I9" s="123">
        <f>IF(AND($I$2="DA", $J$2="DA",$K$2="NE",$L$2="NE",$M$2="NE",$N$2="NE",$O$2="NE"),0,1)</f>
        <v>1</v>
      </c>
      <c r="J9" s="122">
        <f>IF(AND($H$2=13,$G$2=6),1,0)</f>
        <v>0</v>
      </c>
      <c r="K9" s="123">
        <f>IF(AND($I$2="DA", $J$2="DA",$K$2="NE",$L$2="NE",$M$2="NE",$N$2="NE",$O$2="NE"),0,1)</f>
        <v>1</v>
      </c>
      <c r="L9" s="122">
        <f>IF(AND($H$2=13,$G$2=12),1,0)</f>
        <v>0</v>
      </c>
      <c r="M9" s="123">
        <f>IF(AND($I$2="DA", $J$2="DA",$K$2="DA",$L$2="DA",$M$2="DA",$N$2="NE",$O$2="NE"),0,1)</f>
        <v>1</v>
      </c>
      <c r="U9" s="132">
        <v>1079</v>
      </c>
    </row>
    <row r="10" spans="1:21" ht="82.5" customHeight="1" x14ac:dyDescent="0.25">
      <c r="A10" s="154">
        <f t="shared" si="1"/>
        <v>7</v>
      </c>
      <c r="B10" s="155" t="str">
        <f t="shared" si="0"/>
        <v>Zadovoljena</v>
      </c>
      <c r="C10" s="404" t="s">
        <v>3392</v>
      </c>
      <c r="E10" s="54">
        <f t="shared" si="2"/>
        <v>0</v>
      </c>
      <c r="F10" s="122">
        <f t="shared" si="3"/>
        <v>0</v>
      </c>
      <c r="G10" s="123">
        <f>IF($H$2=21,1,0)</f>
        <v>0</v>
      </c>
      <c r="H10" s="122">
        <f>IF(AND($H$2=21,OR($G$2=3,$G$2=9)),1,0)</f>
        <v>0</v>
      </c>
      <c r="I10" s="123">
        <f>IF(AND($I$2="NE", $J$2="NE",$K$2="NE",$L$2="NE",$M$2="NE",$N$2="NE",$O$2="DA"),0,1)</f>
        <v>1</v>
      </c>
      <c r="J10" s="122">
        <f>IF(AND($H$2=21,$G$2=6),1,0)</f>
        <v>0</v>
      </c>
      <c r="K10" s="123">
        <f>IF(AND($I$2="DA", $J$2="NE",$K$2="NE",$L$2="NE",$M$2="NE",$N$2="NE",$O$2="NE"),0,1)</f>
        <v>1</v>
      </c>
      <c r="L10" s="122">
        <f>IF(AND($H$2=21,$G$2=12),1,0)</f>
        <v>0</v>
      </c>
      <c r="M10" s="123">
        <f>IF(AND($I$2="DA", $J$2="NE",$K$2="NE",$L$2="DA",$M$2="DA",$N$2="NE",$O$2="NE"),0,1)</f>
        <v>1</v>
      </c>
      <c r="U10" s="132">
        <v>756</v>
      </c>
    </row>
    <row r="11" spans="1:21" ht="85.5" customHeight="1" x14ac:dyDescent="0.25">
      <c r="A11" s="154">
        <f t="shared" si="1"/>
        <v>8</v>
      </c>
      <c r="B11" s="155" t="str">
        <f t="shared" si="0"/>
        <v>Zadovoljena</v>
      </c>
      <c r="C11" s="404" t="s">
        <v>1977</v>
      </c>
      <c r="E11" s="54">
        <f t="shared" si="2"/>
        <v>0</v>
      </c>
      <c r="F11" s="122">
        <f t="shared" si="3"/>
        <v>0</v>
      </c>
      <c r="G11" s="123">
        <f>IF($H$2=22,1,0)</f>
        <v>1</v>
      </c>
      <c r="H11" s="122">
        <f>IF(AND($H$2=22,OR($G$2=3,$G$2=9)),1,0)</f>
        <v>0</v>
      </c>
      <c r="I11" s="123">
        <f>IF(AND($I$2="DA", $J$2="DA",$K$2="NE",$L$2="NE",$M$2="NE",$N$2="DA",$O$2="NE"),0,1)</f>
        <v>1</v>
      </c>
      <c r="J11" s="122">
        <f>IF(AND($H$2=22,$G$2=6),1,0)</f>
        <v>0</v>
      </c>
      <c r="K11" s="123">
        <f>IF(AND($I$2="DA", $J$2="DA",$K$2="NE",$L$2="NE",$M$2="NE",$N$2="DA",$O$2="NE"),0,1)</f>
        <v>1</v>
      </c>
      <c r="L11" s="122">
        <f>IF(AND($H$2=22,$G$2=12),1,0)</f>
        <v>1</v>
      </c>
      <c r="M11" s="123">
        <f>IF(AND($I$2="DA", $J$2="DA",$K$2="DA",$L$2="DA",$M$2="DA",$N$2="DA",$O$2="NE"),0,1)</f>
        <v>0</v>
      </c>
      <c r="U11" s="132">
        <v>1087</v>
      </c>
    </row>
    <row r="12" spans="1:21" ht="83.25" customHeight="1" x14ac:dyDescent="0.25">
      <c r="A12" s="154">
        <f t="shared" si="1"/>
        <v>9</v>
      </c>
      <c r="B12" s="155" t="str">
        <f t="shared" si="0"/>
        <v>Zadovoljena</v>
      </c>
      <c r="C12" s="404" t="s">
        <v>3431</v>
      </c>
      <c r="E12" s="54">
        <f t="shared" si="2"/>
        <v>0</v>
      </c>
      <c r="F12" s="122">
        <f t="shared" si="3"/>
        <v>0</v>
      </c>
      <c r="G12" s="123">
        <f>IF($H$2=23,1,0)</f>
        <v>0</v>
      </c>
      <c r="H12" s="122">
        <f>IF(AND($H$2=23,OR($G$2=3,$G$2=9)),1,0)</f>
        <v>0</v>
      </c>
      <c r="I12" s="123">
        <v>1</v>
      </c>
      <c r="J12" s="122">
        <f>IF(AND($H$2=23,$G$2=6),1,0)</f>
        <v>0</v>
      </c>
      <c r="K12" s="123">
        <f>IF(AND($I$2="DA", $J$2="NE",$K$2="NE",$L$2="NE",$M$2="NE",$N$2="DA",$O$2="NE"),0,1)</f>
        <v>1</v>
      </c>
      <c r="L12" s="122">
        <f>IF(AND($H$2=23,$G$2=12),1,0)</f>
        <v>0</v>
      </c>
      <c r="M12" s="123">
        <f>IF(AND($I$2="DA", $J$2="NE",$K$2="DA",$L$2="DA",$M$2="DA",$N$2="DA",$O$2="NE"),0,1)</f>
        <v>1</v>
      </c>
      <c r="U12" s="132">
        <v>1214</v>
      </c>
    </row>
    <row r="13" spans="1:21" ht="82.5" customHeight="1" x14ac:dyDescent="0.25">
      <c r="A13" s="154">
        <f t="shared" si="1"/>
        <v>10</v>
      </c>
      <c r="B13" s="155" t="str">
        <f t="shared" si="0"/>
        <v>Zadovoljena</v>
      </c>
      <c r="C13" s="404" t="s">
        <v>261</v>
      </c>
      <c r="E13" s="54">
        <f t="shared" si="2"/>
        <v>0</v>
      </c>
      <c r="F13" s="122">
        <f t="shared" si="3"/>
        <v>0</v>
      </c>
      <c r="G13" s="123">
        <f>IF($H$2=31,1,0)</f>
        <v>0</v>
      </c>
      <c r="H13" s="122">
        <f>IF(AND($H$2=31,OR($G$2=3,$G$2=9)),1,0)</f>
        <v>0</v>
      </c>
      <c r="I13" s="123">
        <f>IF(AND($I$2="NE", $J$2="NE",$K$2="NE",$L$2="NE",$M$2="NE",$N$2="NE",$O$2="DA"),0,1)</f>
        <v>1</v>
      </c>
      <c r="J13" s="122">
        <f>IF(AND($H$2=31,$G$2=6),1,0)</f>
        <v>0</v>
      </c>
      <c r="K13" s="123">
        <f>IF(AND($I$2="DA", $J$2="NE",$K$2="NE",$L$2="NE",$M$2="NE",$N$2="NE",$O$2="NE"),0,1)</f>
        <v>1</v>
      </c>
      <c r="L13" s="122">
        <f>IF(AND($H$2=31,$G$2=12),1,0)</f>
        <v>0</v>
      </c>
      <c r="M13" s="123">
        <f>IF(AND($I$2="DA", $J$2="NE",$K$2="NE",$L$2="DA",$M$2="DA",$N$2="NE",$O$2="NE"),0,1)</f>
        <v>1</v>
      </c>
      <c r="N13" s="127" t="s">
        <v>4112</v>
      </c>
      <c r="O13" s="127" t="s">
        <v>4113</v>
      </c>
      <c r="U13" s="132">
        <v>1222</v>
      </c>
    </row>
    <row r="14" spans="1:21" ht="81.599999999999994" x14ac:dyDescent="0.25">
      <c r="A14" s="154">
        <f t="shared" si="1"/>
        <v>11</v>
      </c>
      <c r="B14" s="155" t="str">
        <f t="shared" si="0"/>
        <v>Zadovoljena</v>
      </c>
      <c r="C14" s="404" t="s">
        <v>3368</v>
      </c>
      <c r="E14" s="54">
        <f t="shared" si="2"/>
        <v>0</v>
      </c>
      <c r="F14" s="122">
        <f t="shared" si="3"/>
        <v>0</v>
      </c>
      <c r="G14" s="123">
        <f>IF(AND($H$2=41,Kont!N2="DA", RefStr!B6&lt;&gt;25843, RefStr!B6&lt;&gt;23911, RefStr!B6&lt;&gt;26362),1,0)</f>
        <v>0</v>
      </c>
      <c r="H14" s="122">
        <f>IF(AND($H$2=41,OR($G$2=3,$G$2=9)),1,0)</f>
        <v>0</v>
      </c>
      <c r="I14" s="123">
        <f>IF(AND($I$2="DA", $K$2="NE",$L$2="NE",$M$2="NE",$O$2="NE",N14+O14=0),0,1)</f>
        <v>1</v>
      </c>
      <c r="J14" s="122">
        <f>IF(AND($H$2=41,$G$2=6),1,0)</f>
        <v>0</v>
      </c>
      <c r="K14" s="123">
        <f>IF(AND($I$2="DA", $K$2="NE",$L$2="NE",$M$2="NE",$O$2="NE",N14+O14=0),0,1)</f>
        <v>1</v>
      </c>
      <c r="L14" s="122">
        <f>IF(AND($H$2=41,$G$2=12),1,0)</f>
        <v>0</v>
      </c>
      <c r="M14" s="123">
        <f>IF(AND($I$2="DA", $K$2="DA",$L$2="DA",$M$2="DA",$O$2="NE",N14+O14=0),0,1)</f>
        <v>0</v>
      </c>
      <c r="N14" s="126">
        <f>IF(OR(P2=26362,P2=25843,P2=23911),IF(AND(N2="NE",J2="NE"),0,1),0)</f>
        <v>0</v>
      </c>
      <c r="O14" s="126">
        <f>IF(AND(P2&lt;&gt;26362,P2&lt;&gt;25843,P2&lt;&gt;23911),IF(AND(N2="DA",J2="DA"),0,1),0)</f>
        <v>0</v>
      </c>
      <c r="U14" s="132">
        <v>1732</v>
      </c>
    </row>
    <row r="15" spans="1:21" ht="84" customHeight="1" x14ac:dyDescent="0.25">
      <c r="A15" s="154">
        <f t="shared" si="1"/>
        <v>12</v>
      </c>
      <c r="B15" s="155" t="str">
        <f t="shared" si="0"/>
        <v>Zadovoljena</v>
      </c>
      <c r="C15" s="404" t="s">
        <v>2875</v>
      </c>
      <c r="E15" s="54">
        <f>IF(F15*G15+H15*I15+J15*K15+L15*M15&gt;0,1,0)</f>
        <v>0</v>
      </c>
      <c r="F15" s="122">
        <f t="shared" si="3"/>
        <v>0</v>
      </c>
      <c r="G15" s="123">
        <f>IF($H$2=42,1,0)</f>
        <v>0</v>
      </c>
      <c r="H15" s="122">
        <f>IF(AND($H$2=42,OR($G$2=3,$G$2=9)),1,0)</f>
        <v>0</v>
      </c>
      <c r="I15" s="123">
        <f>IF(AND($I$2="NE", $J$2="NE",$K$2="NE",$L$2="NE",$M$2="NE",$N$2="NE",$O$2="DA"),0,1)</f>
        <v>1</v>
      </c>
      <c r="J15" s="122">
        <f>IF(AND($H$2=42,$G$2=6),1,0)</f>
        <v>0</v>
      </c>
      <c r="K15" s="123">
        <f>IF(AND($I$2="DA", $J$2="NE",$K$2="NE",$L$2="NE",$M$2="NE",$N$2="NE",$O$2="NE"),0,1)</f>
        <v>1</v>
      </c>
      <c r="L15" s="122">
        <f>IF(AND($H$2=42,$G$2=12),1,0)</f>
        <v>0</v>
      </c>
      <c r="M15" s="123">
        <f>IF(AND($I$2="DA", $J$2="NE",$K$2="NE",$L$2="DA",$M$2="DA",$N$2="DA",$O$2="NE"),0,1)</f>
        <v>1</v>
      </c>
      <c r="U15" s="132">
        <v>3130</v>
      </c>
    </row>
    <row r="16" spans="1:21" ht="20.100000000000001" customHeight="1" x14ac:dyDescent="0.25">
      <c r="A16" s="594" t="s">
        <v>1480</v>
      </c>
      <c r="B16" s="595"/>
      <c r="C16" s="596"/>
      <c r="E16" s="115">
        <f>SUM(E17:E21)</f>
        <v>0</v>
      </c>
      <c r="U16" s="132">
        <v>6120</v>
      </c>
    </row>
    <row r="17" spans="1:21" ht="51.75" customHeight="1" x14ac:dyDescent="0.25">
      <c r="A17" s="154">
        <f>1+A15</f>
        <v>13</v>
      </c>
      <c r="B17" s="155" t="str">
        <f t="shared" si="0"/>
        <v>Zadovoljena</v>
      </c>
      <c r="C17" s="156" t="s">
        <v>4239</v>
      </c>
      <c r="E17" s="54">
        <f>F17*G17</f>
        <v>0</v>
      </c>
      <c r="F17" s="122">
        <f>IF(AND(OR(H2=41,H2=22),G2=12),1,0)</f>
        <v>1</v>
      </c>
      <c r="G17" s="131">
        <f>IF(ABS(NT!D240-PRRAS!E624)&gt;1,1,0)</f>
        <v>0</v>
      </c>
      <c r="H17" s="6"/>
      <c r="I17" s="6"/>
      <c r="J17" s="6"/>
      <c r="K17" s="6"/>
      <c r="U17" s="132">
        <v>6031</v>
      </c>
    </row>
    <row r="18" spans="1:21" ht="75.75" customHeight="1" x14ac:dyDescent="0.25">
      <c r="A18" s="154">
        <f t="shared" si="1"/>
        <v>14</v>
      </c>
      <c r="B18" s="155" t="str">
        <f t="shared" si="0"/>
        <v>Zadovoljena</v>
      </c>
      <c r="C18" s="156" t="s">
        <v>384</v>
      </c>
      <c r="E18" s="54">
        <f>IF(AND(F18=1,G18+H18&gt;0),1,0)</f>
        <v>0</v>
      </c>
      <c r="F18" s="122">
        <f>IF(AND(G2=12,M2="DA",I2="DA",H2&lt;&gt;12,H2&lt;&gt;23,H2&lt;&gt;13),1,0)</f>
        <v>1</v>
      </c>
      <c r="G18" s="131">
        <f>IF(AND(ABS(Bil!D155-PRRAS!D619)&gt;1,K18="1.1."),1,0)</f>
        <v>0</v>
      </c>
      <c r="H18" s="131">
        <f>IF(ABS(Bil!E155-PRRAS!E619)&gt;1,1,0)</f>
        <v>0</v>
      </c>
      <c r="I18" s="6"/>
      <c r="J18" s="6"/>
      <c r="K18" s="419" t="str">
        <f>IF(RefStr!K10&lt;&gt;"",TEXT(RefStr!K10,"D.M."),"")</f>
        <v>1.1.</v>
      </c>
      <c r="U18" s="132">
        <v>6040</v>
      </c>
    </row>
    <row r="19" spans="1:21" ht="42.75" customHeight="1" x14ac:dyDescent="0.25">
      <c r="A19" s="154">
        <f t="shared" si="1"/>
        <v>15</v>
      </c>
      <c r="B19" s="155" t="str">
        <f t="shared" si="0"/>
        <v>Zadovoljena</v>
      </c>
      <c r="C19" s="156" t="s">
        <v>1856</v>
      </c>
      <c r="E19" s="54">
        <f>IF(AND(F19=1,G19+H19&gt;0),1,0)</f>
        <v>0</v>
      </c>
      <c r="F19" s="122">
        <f>IF(AND(G2=12,M2="DA",I2="DA",H2&lt;&gt;12,H2&lt;&gt;23,H2&lt;&gt;13),1,0)</f>
        <v>1</v>
      </c>
      <c r="G19" s="131">
        <f>IF(ABS(Bil!D73-PRRAS!D624)&gt;1,1,0)</f>
        <v>0</v>
      </c>
      <c r="H19" s="131">
        <f>IF(ABS(Bil!E73-PRRAS!E624)&gt;1,1,0)</f>
        <v>0</v>
      </c>
      <c r="I19" s="6"/>
      <c r="J19" s="6"/>
      <c r="K19" s="6"/>
      <c r="U19" s="132">
        <v>6066</v>
      </c>
    </row>
    <row r="20" spans="1:21" ht="51.75" customHeight="1" x14ac:dyDescent="0.25">
      <c r="A20" s="154">
        <f t="shared" si="1"/>
        <v>16</v>
      </c>
      <c r="B20" s="155" t="str">
        <f t="shared" si="0"/>
        <v>Zadovoljena</v>
      </c>
      <c r="C20" s="156" t="s">
        <v>730</v>
      </c>
      <c r="E20" s="54">
        <f>IF(F20*G20&gt;0,1,0)</f>
        <v>0</v>
      </c>
      <c r="F20" s="122">
        <f>IF(AND(G2=12,M2="DA",J2="DA",H2&lt;&gt;12,H2&lt;&gt;23,H2&lt;&gt;13),1,0)</f>
        <v>1</v>
      </c>
      <c r="G20" s="131">
        <f>IF(ABS(Bil!E73-NT!D240)&gt;1,1,0)</f>
        <v>0</v>
      </c>
      <c r="H20" s="6"/>
      <c r="I20" s="6"/>
      <c r="J20" s="6"/>
      <c r="K20" s="6"/>
      <c r="U20" s="132">
        <v>6082</v>
      </c>
    </row>
    <row r="21" spans="1:21" ht="63.75" customHeight="1" x14ac:dyDescent="0.25">
      <c r="A21" s="154">
        <f t="shared" si="1"/>
        <v>17</v>
      </c>
      <c r="B21" s="157" t="str">
        <f t="shared" si="0"/>
        <v>Zadovoljena</v>
      </c>
      <c r="C21" s="158" t="s">
        <v>1478</v>
      </c>
      <c r="E21" s="54">
        <f>IF(AND(F21&gt;0,MAX(G21:H21)&gt;0),1,0)</f>
        <v>0</v>
      </c>
      <c r="F21" s="122">
        <f>IF(AND(G2=12,I2="DA",K2="DA",H2&lt;&gt;12,H2&lt;&gt;23),1,0)</f>
        <v>1</v>
      </c>
      <c r="G21" s="403">
        <f>IF(ABS(PRRAS!D390-RasF!D12-RasF!D29-RasF!D35-RasF!D42-RasF!D82-RasF!D89-RasF!D96-RasF!D114-RasF!D121-RasF!D136) &gt;1,1,0)</f>
        <v>0</v>
      </c>
      <c r="H21" s="403">
        <f>IF(ABS(PRRAS!E390-RasF!E12-RasF!E29-RasF!E35-RasF!E42-RasF!E82-RasF!E89-RasF!E96-RasF!E114-RasF!E121-RasF!E136) &gt;1,1,0)</f>
        <v>0</v>
      </c>
      <c r="I21" s="146"/>
      <c r="J21" s="6"/>
      <c r="K21" s="6"/>
      <c r="U21" s="132">
        <v>6099</v>
      </c>
    </row>
    <row r="22" spans="1:21" ht="20.100000000000001" customHeight="1" x14ac:dyDescent="0.25">
      <c r="A22" s="597" t="s">
        <v>1479</v>
      </c>
      <c r="B22" s="598"/>
      <c r="C22" s="599"/>
      <c r="E22" s="115">
        <f>SUM(E23:E25)</f>
        <v>0</v>
      </c>
    </row>
    <row r="23" spans="1:21" ht="57" customHeight="1" x14ac:dyDescent="0.25">
      <c r="A23" s="83">
        <f>1+A21</f>
        <v>18</v>
      </c>
      <c r="B23" s="155" t="str">
        <f>IF(E23=1,"Nije zadovoljena", "Zadovoljena")</f>
        <v>Zadovoljena</v>
      </c>
      <c r="C23" s="156" t="s">
        <v>1855</v>
      </c>
      <c r="D23" s="57">
        <v>-151</v>
      </c>
      <c r="E23" s="54">
        <f>IF(AND(F23=1,G23+H23&gt;0),1,0)</f>
        <v>0</v>
      </c>
      <c r="F23" s="122">
        <f>IF(AND(G2=12,M2="DA",I2="DA",OR(H2=12,H2=23,H2=13)),1,0)</f>
        <v>0</v>
      </c>
      <c r="G23" s="131">
        <f>IF(ABS(Bil!D155-PRRAS!D619)&gt;1,1,0)</f>
        <v>0</v>
      </c>
      <c r="H23" s="131">
        <f>IF(ABS(Bil!E155-PRRAS!E619)&gt;1,1,0)</f>
        <v>0</v>
      </c>
    </row>
    <row r="24" spans="1:21" ht="54" customHeight="1" x14ac:dyDescent="0.25">
      <c r="A24" s="83">
        <f>1+A23</f>
        <v>19</v>
      </c>
      <c r="B24" s="155" t="str">
        <f>IF(E24=1,"Nije zadovoljena", "Zadovoljena")</f>
        <v>Zadovoljena</v>
      </c>
      <c r="C24" s="156" t="s">
        <v>729</v>
      </c>
      <c r="D24" s="57">
        <v>-151</v>
      </c>
      <c r="E24" s="54">
        <f>IF(AND(F24=1,G24+H24&gt;0),1,0)</f>
        <v>0</v>
      </c>
      <c r="F24" s="122">
        <f>IF(AND(G2=12,M2="DA",I2="DA",OR(H2=12,H2=23,H2=13)),1,0)</f>
        <v>0</v>
      </c>
      <c r="G24" s="131">
        <f>IF(ABS(Bil!D73-PRRAS!D624)&gt;1,1,0)</f>
        <v>0</v>
      </c>
      <c r="H24" s="131">
        <f>IF(ABS(Bil!E73-PRRAS!E624)&gt;1,1,0)</f>
        <v>0</v>
      </c>
    </row>
    <row r="25" spans="1:21" ht="57" customHeight="1" x14ac:dyDescent="0.25">
      <c r="A25" s="83">
        <f>1+A24</f>
        <v>20</v>
      </c>
      <c r="B25" s="155" t="str">
        <f>IF(E25=1,"Nije zadovoljena", "Zadovoljena")</f>
        <v>Zadovoljena</v>
      </c>
      <c r="C25" s="156" t="s">
        <v>880</v>
      </c>
      <c r="D25" s="57">
        <v>-151</v>
      </c>
      <c r="E25" s="54">
        <f>IF(F25*G25&gt;0,1,0)</f>
        <v>0</v>
      </c>
      <c r="F25" s="122">
        <f>IF(AND(G2=12,M2="DA",J2="DA",OR(H2=12,H2=23,H2=13)),1,0)</f>
        <v>0</v>
      </c>
      <c r="G25" s="131">
        <f>IF(ABS(Bil!E73-NT!D240)&gt;1,1,0)</f>
        <v>0</v>
      </c>
      <c r="H25" s="6"/>
    </row>
    <row r="26" spans="1:21" ht="20.100000000000001" customHeight="1" x14ac:dyDescent="0.25">
      <c r="A26" s="594" t="s">
        <v>2778</v>
      </c>
      <c r="B26" s="595"/>
      <c r="C26" s="596"/>
      <c r="E26" s="115">
        <f>SUM(E27:E173)</f>
        <v>0</v>
      </c>
      <c r="U26" s="132">
        <v>6120</v>
      </c>
    </row>
    <row r="27" spans="1:21" ht="20.100000000000001" customHeight="1" x14ac:dyDescent="0.25">
      <c r="A27" s="420">
        <f>1+A25</f>
        <v>21</v>
      </c>
      <c r="B27" s="421" t="str">
        <f t="shared" ref="B27:B58" si="4">IF(E27=1,"Nije zadovoljena", "Zadovoljena")</f>
        <v>Zadovoljena</v>
      </c>
      <c r="C27" s="425" t="s">
        <v>1578</v>
      </c>
      <c r="D27" s="58">
        <v>151</v>
      </c>
      <c r="E27" s="115">
        <f t="shared" ref="E27:E32" si="5">MAX(F27:I27)</f>
        <v>0</v>
      </c>
      <c r="F27" s="54">
        <f>IF(AND(OR(RefStr!B16=21,RefStr!B16=31,RefStr!B16=41,RefStr!B16=42),OR(PRRAS!D625&gt;0,PRRAS!E625&gt;0,PRRAS!D627&gt;0,PRRAS!E627&gt;0)),1,0)</f>
        <v>0</v>
      </c>
      <c r="U27" s="132">
        <v>6138</v>
      </c>
    </row>
    <row r="28" spans="1:21" ht="30" customHeight="1" x14ac:dyDescent="0.25">
      <c r="A28" s="422">
        <f t="shared" ref="A28:A155" si="6">1+A27</f>
        <v>22</v>
      </c>
      <c r="B28" s="423" t="str">
        <f t="shared" si="4"/>
        <v>Zadovoljena</v>
      </c>
      <c r="C28" s="424" t="s">
        <v>1579</v>
      </c>
      <c r="D28" s="58">
        <v>151</v>
      </c>
      <c r="E28" s="115">
        <f t="shared" si="5"/>
        <v>0</v>
      </c>
      <c r="F28" s="54">
        <f>IF(OR(AND(PRRAS!D144=0,MAX(PRRAS!D625:D628)&gt;0),AND(PRRAS!E144=0,MAX(PRRAS!E625:E628)&gt;0)),1,0)</f>
        <v>0</v>
      </c>
      <c r="U28" s="132">
        <v>6179</v>
      </c>
    </row>
    <row r="29" spans="1:21" ht="20.100000000000001" customHeight="1" x14ac:dyDescent="0.25">
      <c r="A29" s="422">
        <f t="shared" si="6"/>
        <v>23</v>
      </c>
      <c r="B29" s="423" t="str">
        <f t="shared" si="4"/>
        <v>Zadovoljena</v>
      </c>
      <c r="C29" s="424" t="s">
        <v>1580</v>
      </c>
      <c r="D29" s="58">
        <v>151</v>
      </c>
      <c r="E29" s="115">
        <f t="shared" si="5"/>
        <v>0</v>
      </c>
      <c r="F29" s="54">
        <f>IF(OR(AND(PRRAS!D625&gt;0,PRRAS!D627=0),AND(PRRAS!D625=0,PRRAS!D627&gt;0),AND(PRRAS!E625&gt;0,PRRAS!E627=0),AND(PRRAS!E625=0,PRRAS!DE27&gt;0)),1,0)</f>
        <v>0</v>
      </c>
      <c r="U29" s="132">
        <v>20157</v>
      </c>
    </row>
    <row r="30" spans="1:21" ht="20.100000000000001" customHeight="1" x14ac:dyDescent="0.25">
      <c r="A30" s="422">
        <f t="shared" si="6"/>
        <v>24</v>
      </c>
      <c r="B30" s="423" t="str">
        <f t="shared" si="4"/>
        <v>Zadovoljena</v>
      </c>
      <c r="C30" s="424" t="s">
        <v>1581</v>
      </c>
      <c r="D30" s="58">
        <v>151</v>
      </c>
      <c r="E30" s="115">
        <f t="shared" si="5"/>
        <v>0</v>
      </c>
      <c r="F30" s="54">
        <f>IF(OR(AND(PRRAS!D626&gt;0,PRRAS!D628=0),AND(PRRAS!D626=0,PRRAS!D628&gt;0),AND(PRRAS!E626&gt;0,PRRAS!E628=0),AND(PRRAS!E626=0,PRRAS!DE28&gt;0)),1,0)</f>
        <v>0</v>
      </c>
      <c r="U30" s="132">
        <v>20833</v>
      </c>
    </row>
    <row r="31" spans="1:21" ht="30" customHeight="1" x14ac:dyDescent="0.25">
      <c r="A31" s="422">
        <f t="shared" si="6"/>
        <v>25</v>
      </c>
      <c r="B31" s="423" t="str">
        <f t="shared" si="4"/>
        <v>Zadovoljena</v>
      </c>
      <c r="C31" s="424" t="s">
        <v>3519</v>
      </c>
      <c r="D31" s="58">
        <v>151</v>
      </c>
      <c r="E31" s="115">
        <f t="shared" si="5"/>
        <v>0</v>
      </c>
      <c r="F31" s="54">
        <f>IF(OR((PRRAS!D144-PRRAS!D662-PRRAS!D663) &lt;&gt; 0,(PRRAS!E144-PRRAS!E662-PRRAS!E663) &lt;&gt; 0),1,0)</f>
        <v>0</v>
      </c>
      <c r="U31" s="132">
        <v>21578</v>
      </c>
    </row>
    <row r="32" spans="1:21" ht="30" customHeight="1" x14ac:dyDescent="0.25">
      <c r="A32" s="422">
        <f t="shared" si="6"/>
        <v>26</v>
      </c>
      <c r="B32" s="423" t="str">
        <f t="shared" si="4"/>
        <v>Zadovoljena</v>
      </c>
      <c r="C32" s="424" t="s">
        <v>3520</v>
      </c>
      <c r="D32" s="58">
        <v>151</v>
      </c>
      <c r="E32" s="115">
        <f t="shared" si="5"/>
        <v>0</v>
      </c>
      <c r="F32" s="54">
        <f>IF(OR((PRRAS!D156-PRRAS!D670-PRRAS!D671) &lt;&gt; 0,(PRRAS!E156-PRRAS!E670-PRRAS!E671) &lt;&gt; 0),1,0)</f>
        <v>0</v>
      </c>
      <c r="U32" s="132">
        <v>21586</v>
      </c>
    </row>
    <row r="33" spans="1:21" ht="30" customHeight="1" x14ac:dyDescent="0.25">
      <c r="A33" s="422">
        <f t="shared" si="6"/>
        <v>27</v>
      </c>
      <c r="B33" s="423" t="str">
        <f t="shared" si="4"/>
        <v>Zadovoljena</v>
      </c>
      <c r="C33" s="424" t="s">
        <v>2361</v>
      </c>
      <c r="D33" s="58">
        <v>151</v>
      </c>
      <c r="E33" s="115">
        <f>IF(H2&lt;&gt;13,MAX(F33:I33),0)</f>
        <v>0</v>
      </c>
      <c r="F33" s="54">
        <f>IF(AND(PRRAS!D662&gt;0,PRRAS!D664=0,PRRAS!D666=0),1,0)</f>
        <v>0</v>
      </c>
      <c r="G33" s="54">
        <f>IF(AND(PRRAS!E662&gt;0,PRRAS!E664=0,PRRAS!E666=0),1,0)</f>
        <v>0</v>
      </c>
      <c r="H33" s="54">
        <f>IF(PRRAS!D662-PRRAS!D664-PRRAS!D666&lt;0,1,0)</f>
        <v>0</v>
      </c>
      <c r="I33" s="54">
        <f>IF(PRRAS!E662-PRRAS!E664-PRRAS!E666&lt;0,1,0)</f>
        <v>0</v>
      </c>
      <c r="U33" s="132">
        <v>21609</v>
      </c>
    </row>
    <row r="34" spans="1:21" ht="30" customHeight="1" x14ac:dyDescent="0.25">
      <c r="A34" s="422">
        <f t="shared" si="6"/>
        <v>28</v>
      </c>
      <c r="B34" s="423" t="str">
        <f>IF(E34=1,"Nije zadovoljena", "Zadovoljena")</f>
        <v>Zadovoljena</v>
      </c>
      <c r="C34" s="424" t="s">
        <v>2366</v>
      </c>
      <c r="D34" s="58">
        <v>151</v>
      </c>
      <c r="E34" s="115">
        <f t="shared" ref="E34:E65" si="7">MAX(F34:I34)</f>
        <v>0</v>
      </c>
      <c r="F34" s="54">
        <f>IF(AND(PRRAS!D663&gt;0,PRRAS!D665=0,PRRAS!D667=0),1,0)</f>
        <v>0</v>
      </c>
      <c r="G34" s="54">
        <f>IF(AND(PRRAS!E663&gt;0,PRRAS!E665=0,PRRAS!E667=0),1,0)</f>
        <v>0</v>
      </c>
      <c r="H34" s="54">
        <f>IF(PRRAS!D663-PRRAS!D665-PRRAS!D667&lt;0,1,0)</f>
        <v>0</v>
      </c>
      <c r="I34" s="54">
        <f>IF(PRRAS!E663-PRRAS!E665-PRRAS!E667&lt;0,1,0)</f>
        <v>0</v>
      </c>
      <c r="U34" s="132">
        <v>21828</v>
      </c>
    </row>
    <row r="35" spans="1:21" ht="30" customHeight="1" x14ac:dyDescent="0.25">
      <c r="A35" s="422">
        <f t="shared" si="6"/>
        <v>29</v>
      </c>
      <c r="B35" s="423" t="str">
        <f t="shared" si="4"/>
        <v>Zadovoljena</v>
      </c>
      <c r="C35" s="424" t="s">
        <v>2367</v>
      </c>
      <c r="D35" s="58">
        <v>151</v>
      </c>
      <c r="E35" s="115">
        <f t="shared" si="7"/>
        <v>0</v>
      </c>
      <c r="F35" s="54">
        <f>IF(ABS(PRRAS!D316-PRRAS!D745-PRRAS!D746)&gt;1,1,0)</f>
        <v>0</v>
      </c>
      <c r="G35" s="54">
        <f>IF(ABS(PRRAS!E316-PRRAS!E745-PRRAS!E746)&gt;1,1,0)</f>
        <v>0</v>
      </c>
      <c r="U35" s="132">
        <v>21973</v>
      </c>
    </row>
    <row r="36" spans="1:21" ht="30" customHeight="1" x14ac:dyDescent="0.25">
      <c r="A36" s="422">
        <f t="shared" si="6"/>
        <v>30</v>
      </c>
      <c r="B36" s="423" t="str">
        <f t="shared" si="4"/>
        <v>Zadovoljena</v>
      </c>
      <c r="C36" s="424" t="s">
        <v>2368</v>
      </c>
      <c r="D36" s="58">
        <v>151</v>
      </c>
      <c r="E36" s="115">
        <f t="shared" si="7"/>
        <v>0</v>
      </c>
      <c r="F36" s="54">
        <f>IF(ABS(PRRAS!D330-PRRAS!D747-PRRAS!D748)&gt;1,1,0)</f>
        <v>0</v>
      </c>
      <c r="G36" s="54">
        <f>IF(ABS(PRRAS!E330-PRRAS!E747-PRRAS!E748)&gt;1,1,0)</f>
        <v>0</v>
      </c>
      <c r="U36" s="132">
        <v>21990</v>
      </c>
    </row>
    <row r="37" spans="1:21" ht="30" customHeight="1" x14ac:dyDescent="0.25">
      <c r="A37" s="422">
        <f t="shared" si="6"/>
        <v>31</v>
      </c>
      <c r="B37" s="423" t="str">
        <f t="shared" si="4"/>
        <v>Zadovoljena</v>
      </c>
      <c r="C37" s="424" t="s">
        <v>2369</v>
      </c>
      <c r="D37" s="58">
        <v>151</v>
      </c>
      <c r="E37" s="115">
        <f t="shared" si="7"/>
        <v>0</v>
      </c>
      <c r="F37" s="54">
        <f>IF(ABS(PRRAS!D373-PRRAS!D749-PRRAS!D750)&gt;1,1,0)</f>
        <v>0</v>
      </c>
      <c r="G37" s="54">
        <f>IF(ABS(PRRAS!E373-PRRAS!E749-PRRAS!E750)&gt;1,1,0)</f>
        <v>0</v>
      </c>
      <c r="U37" s="132">
        <v>22023</v>
      </c>
    </row>
    <row r="38" spans="1:21" ht="30" customHeight="1" x14ac:dyDescent="0.25">
      <c r="A38" s="422">
        <f t="shared" si="6"/>
        <v>32</v>
      </c>
      <c r="B38" s="423" t="str">
        <f t="shared" si="4"/>
        <v>Zadovoljena</v>
      </c>
      <c r="C38" s="424" t="s">
        <v>3143</v>
      </c>
      <c r="D38" s="58">
        <v>151</v>
      </c>
      <c r="E38" s="115">
        <f t="shared" si="7"/>
        <v>0</v>
      </c>
      <c r="F38" s="54">
        <f>IF(AND(RefStr!B16&lt;&gt;13,PRRAS!D662&gt;0,PRRAS!D625=0,PRRAS!D627=0),1,0)</f>
        <v>0</v>
      </c>
      <c r="G38" s="54">
        <f>IF(AND(RefStr!B16&lt;&gt;13,PRRAS!E662&gt;0,PRRAS!E625=0,PRRAS!E627=0),1,0)</f>
        <v>0</v>
      </c>
      <c r="U38" s="132">
        <v>23528</v>
      </c>
    </row>
    <row r="39" spans="1:21" ht="30" customHeight="1" x14ac:dyDescent="0.25">
      <c r="A39" s="422">
        <f t="shared" si="6"/>
        <v>33</v>
      </c>
      <c r="B39" s="423" t="str">
        <f t="shared" si="4"/>
        <v>Zadovoljena</v>
      </c>
      <c r="C39" s="424" t="s">
        <v>3144</v>
      </c>
      <c r="D39" s="58">
        <v>151</v>
      </c>
      <c r="E39" s="115">
        <f t="shared" si="7"/>
        <v>0</v>
      </c>
      <c r="F39" s="54">
        <f>IF(AND(RefStr!B17&lt;&gt;13,PRRAS!D663&gt;0,PRRAS!D626=0,PRRAS!D628=0),1,0)</f>
        <v>0</v>
      </c>
      <c r="G39" s="54">
        <f>IF(AND(RefStr!B17&lt;&gt;13,PRRAS!E663&gt;0,PRRAS!E626=0,PRRAS!E628=0),1,0)</f>
        <v>0</v>
      </c>
      <c r="U39" s="132">
        <v>23536</v>
      </c>
    </row>
    <row r="40" spans="1:21" ht="20.100000000000001" customHeight="1" x14ac:dyDescent="0.25">
      <c r="A40" s="422">
        <f t="shared" si="6"/>
        <v>34</v>
      </c>
      <c r="B40" s="423" t="str">
        <f t="shared" si="4"/>
        <v>Zadovoljena</v>
      </c>
      <c r="C40" s="424" t="s">
        <v>3217</v>
      </c>
      <c r="D40" s="58">
        <v>151</v>
      </c>
      <c r="E40" s="115">
        <f t="shared" si="7"/>
        <v>0</v>
      </c>
      <c r="F40" s="116">
        <f>IF(PRRAS!D630&gt;PRRAS!D30,1,0)</f>
        <v>0</v>
      </c>
      <c r="G40" s="116">
        <f>IF(PRRAS!E630&gt;PRRAS!E30,1,0)</f>
        <v>0</v>
      </c>
      <c r="U40" s="132">
        <v>23544</v>
      </c>
    </row>
    <row r="41" spans="1:21" ht="20.100000000000001" customHeight="1" x14ac:dyDescent="0.25">
      <c r="A41" s="422">
        <f t="shared" si="6"/>
        <v>35</v>
      </c>
      <c r="B41" s="423" t="str">
        <f t="shared" si="4"/>
        <v>Zadovoljena</v>
      </c>
      <c r="C41" s="424" t="s">
        <v>3545</v>
      </c>
      <c r="D41" s="58">
        <v>151</v>
      </c>
      <c r="E41" s="115">
        <f t="shared" si="7"/>
        <v>0</v>
      </c>
      <c r="F41" s="116">
        <f>IF(PRRAS!D631+PRRAS!D632&gt;PRRAS!D39,1,0)</f>
        <v>0</v>
      </c>
      <c r="G41" s="116">
        <f>IF(PRRAS!E631+PRRAS!E632&gt;PRRAS!E39,1,0)</f>
        <v>0</v>
      </c>
      <c r="U41" s="132">
        <v>23954</v>
      </c>
    </row>
    <row r="42" spans="1:21" ht="20.100000000000001" customHeight="1" x14ac:dyDescent="0.25">
      <c r="A42" s="422">
        <f t="shared" si="6"/>
        <v>36</v>
      </c>
      <c r="B42" s="423" t="str">
        <f t="shared" si="4"/>
        <v>Zadovoljena</v>
      </c>
      <c r="C42" s="424" t="s">
        <v>3153</v>
      </c>
      <c r="D42" s="58">
        <v>151</v>
      </c>
      <c r="E42" s="115">
        <f t="shared" si="7"/>
        <v>0</v>
      </c>
      <c r="F42" s="116">
        <f>IF(ABS(PRRAS!D68-PRRAS!D633-PRRAS!D634-PRRAS!D635-PRRAS!D636)&gt;1,1,0)</f>
        <v>0</v>
      </c>
      <c r="G42" s="116">
        <f>IF(ABS(PRRAS!E68-PRRAS!E633-PRRAS!E634-PRRAS!E635-PRRAS!E636)&gt;1,1,0)</f>
        <v>0</v>
      </c>
      <c r="U42" s="132">
        <v>23987</v>
      </c>
    </row>
    <row r="43" spans="1:21" ht="20.100000000000001" customHeight="1" x14ac:dyDescent="0.25">
      <c r="A43" s="422">
        <f t="shared" si="6"/>
        <v>37</v>
      </c>
      <c r="B43" s="423" t="str">
        <f t="shared" si="4"/>
        <v>Zadovoljena</v>
      </c>
      <c r="C43" s="424" t="s">
        <v>3152</v>
      </c>
      <c r="D43" s="58">
        <v>151</v>
      </c>
      <c r="E43" s="115">
        <f t="shared" si="7"/>
        <v>0</v>
      </c>
      <c r="F43" s="116">
        <f>IF(ABS(PRRAS!D69-PRRAS!D637-PRRAS!D638-PRRAS!D639-PRRAS!D640)&gt;1,1,0)</f>
        <v>0</v>
      </c>
      <c r="G43" s="116">
        <f>IF(PRRAS!E69-PRRAS!E637-PRRAS!E638-PRRAS!E639-PRRAS!E640&lt;&gt;0,1,0)</f>
        <v>0</v>
      </c>
      <c r="U43" s="132">
        <v>23995</v>
      </c>
    </row>
    <row r="44" spans="1:21" ht="20.100000000000001" customHeight="1" x14ac:dyDescent="0.25">
      <c r="A44" s="422">
        <f t="shared" si="6"/>
        <v>38</v>
      </c>
      <c r="B44" s="423" t="str">
        <f t="shared" si="4"/>
        <v>Zadovoljena</v>
      </c>
      <c r="C44" s="424" t="s">
        <v>3546</v>
      </c>
      <c r="D44" s="58">
        <v>151</v>
      </c>
      <c r="E44" s="115">
        <f t="shared" si="7"/>
        <v>0</v>
      </c>
      <c r="F44" s="116">
        <f>IF(ABS(PRRAS!D70-PRRAS!D641-PRRAS!D642)&gt;1,1,0)</f>
        <v>0</v>
      </c>
      <c r="G44" s="116">
        <f>IF(ABS(PRRAS!E70-PRRAS!E641-PRRAS!E642)&gt;1,1,0)</f>
        <v>0</v>
      </c>
      <c r="U44" s="132">
        <v>24027</v>
      </c>
    </row>
    <row r="45" spans="1:21" ht="20.100000000000001" customHeight="1" x14ac:dyDescent="0.25">
      <c r="A45" s="422">
        <f t="shared" si="6"/>
        <v>39</v>
      </c>
      <c r="B45" s="423" t="str">
        <f t="shared" si="4"/>
        <v>Zadovoljena</v>
      </c>
      <c r="C45" s="424" t="s">
        <v>3547</v>
      </c>
      <c r="D45" s="58">
        <v>151</v>
      </c>
      <c r="E45" s="115">
        <f t="shared" si="7"/>
        <v>0</v>
      </c>
      <c r="F45" s="116">
        <f>IF(ABS(PRRAS!D71-PRRAS!D643-PRRAS!D644)&gt;1,1,0)</f>
        <v>0</v>
      </c>
      <c r="G45" s="116">
        <f>IF(ABS(PRRAS!E71-PRRAS!E643-PRRAS!E644)&gt;1,1,0)</f>
        <v>0</v>
      </c>
      <c r="U45" s="132">
        <v>24051</v>
      </c>
    </row>
    <row r="46" spans="1:21" ht="20.100000000000001" customHeight="1" x14ac:dyDescent="0.25">
      <c r="A46" s="422">
        <f t="shared" si="6"/>
        <v>40</v>
      </c>
      <c r="B46" s="423" t="str">
        <f t="shared" si="4"/>
        <v>Zadovoljena</v>
      </c>
      <c r="C46" s="424" t="s">
        <v>3218</v>
      </c>
      <c r="D46" s="58">
        <v>151</v>
      </c>
      <c r="E46" s="115">
        <f t="shared" si="7"/>
        <v>0</v>
      </c>
      <c r="F46" s="116">
        <f>IF(ABS(PRRAS!D73-PRRAS!D645-PRRAS!D646-PRRAS!D647)&gt;1,1,0)</f>
        <v>0</v>
      </c>
      <c r="G46" s="116">
        <f>IF(ABS(PRRAS!E73-PRRAS!E645-PRRAS!E646-PRRAS!E647)&gt;1,1,0)</f>
        <v>0</v>
      </c>
      <c r="U46" s="132">
        <v>24060</v>
      </c>
    </row>
    <row r="47" spans="1:21" ht="20.100000000000001" customHeight="1" x14ac:dyDescent="0.25">
      <c r="A47" s="422">
        <f t="shared" si="6"/>
        <v>41</v>
      </c>
      <c r="B47" s="423" t="str">
        <f t="shared" si="4"/>
        <v>Zadovoljena</v>
      </c>
      <c r="C47" s="424" t="s">
        <v>3219</v>
      </c>
      <c r="D47" s="58">
        <v>151</v>
      </c>
      <c r="E47" s="115">
        <f t="shared" si="7"/>
        <v>0</v>
      </c>
      <c r="F47" s="116">
        <f>IF(ABS(PRRAS!D74-PRRAS!D648-PRRAS!D649-PRRAS!D650)&gt;1,1,0)</f>
        <v>0</v>
      </c>
      <c r="G47" s="116">
        <f>IF(ABS(PRRAS!E74-PRRAS!E648-PRRAS!E649-PRRAS!E650)&gt;1,1,0)</f>
        <v>0</v>
      </c>
      <c r="U47" s="132">
        <v>24094</v>
      </c>
    </row>
    <row r="48" spans="1:21" ht="20.100000000000001" customHeight="1" x14ac:dyDescent="0.25">
      <c r="A48" s="422">
        <f t="shared" si="6"/>
        <v>42</v>
      </c>
      <c r="B48" s="423" t="str">
        <f t="shared" si="4"/>
        <v>Zadovoljena</v>
      </c>
      <c r="C48" s="424" t="s">
        <v>3154</v>
      </c>
      <c r="D48" s="58">
        <v>151</v>
      </c>
      <c r="E48" s="115">
        <f t="shared" si="7"/>
        <v>0</v>
      </c>
      <c r="F48" s="116">
        <f>IF(PRRAS!D651&gt;PRRAS!D86,1,0)</f>
        <v>0</v>
      </c>
      <c r="G48" s="116">
        <f>IF(PRRAS!E651&gt;PRRAS!E86,1,0)</f>
        <v>0</v>
      </c>
      <c r="U48" s="132">
        <v>24109</v>
      </c>
    </row>
    <row r="49" spans="1:21" ht="20.100000000000001" customHeight="1" x14ac:dyDescent="0.25">
      <c r="A49" s="422">
        <f t="shared" si="6"/>
        <v>43</v>
      </c>
      <c r="B49" s="423" t="str">
        <f t="shared" si="4"/>
        <v>Zadovoljena</v>
      </c>
      <c r="C49" s="424" t="s">
        <v>3159</v>
      </c>
      <c r="D49" s="58">
        <v>151</v>
      </c>
      <c r="E49" s="115">
        <f t="shared" si="7"/>
        <v>0</v>
      </c>
      <c r="F49" s="116">
        <f>IF(ABS(PRRAS!D100-SUM(PRRAS!D652:D658))&gt;1,1,0)</f>
        <v>0</v>
      </c>
      <c r="G49" s="116">
        <f>IF(ABS(PRRAS!E100-SUM(PRRAS!E652:E658))&gt;1,1,0)</f>
        <v>0</v>
      </c>
      <c r="U49" s="132">
        <v>25851</v>
      </c>
    </row>
    <row r="50" spans="1:21" ht="20.100000000000001" customHeight="1" x14ac:dyDescent="0.25">
      <c r="A50" s="422">
        <f t="shared" si="6"/>
        <v>44</v>
      </c>
      <c r="B50" s="423" t="str">
        <f t="shared" si="4"/>
        <v>Zadovoljena</v>
      </c>
      <c r="C50" s="424" t="s">
        <v>3548</v>
      </c>
      <c r="D50" s="58">
        <v>151</v>
      </c>
      <c r="E50" s="115">
        <f t="shared" si="7"/>
        <v>0</v>
      </c>
      <c r="F50" s="116">
        <f>IF(PRRAS!D659+PRRAS!D660 &gt; PRRAS!D112,1,0)</f>
        <v>0</v>
      </c>
      <c r="G50" s="116">
        <f>IF(PRRAS!E659+PRRAS!E660 &gt; PRRAS!E112,1,0)</f>
        <v>0</v>
      </c>
      <c r="U50" s="132">
        <v>25860</v>
      </c>
    </row>
    <row r="51" spans="1:21" ht="20.100000000000001" customHeight="1" x14ac:dyDescent="0.25">
      <c r="A51" s="422">
        <f t="shared" si="6"/>
        <v>45</v>
      </c>
      <c r="B51" s="423" t="str">
        <f t="shared" si="4"/>
        <v>Zadovoljena</v>
      </c>
      <c r="C51" s="424" t="s">
        <v>3549</v>
      </c>
      <c r="D51" s="58">
        <v>151</v>
      </c>
      <c r="E51" s="115">
        <f t="shared" si="7"/>
        <v>0</v>
      </c>
      <c r="F51" s="116">
        <f>IF(PRRAS!D668+PRRAS!D669 &gt; PRRAS!D151,1,0)</f>
        <v>0</v>
      </c>
      <c r="G51" s="116">
        <f>IF(PRRAS!E668+PRRAS!E669 &gt; PRRAS!E151,1,0)</f>
        <v>0</v>
      </c>
      <c r="U51" s="132">
        <v>38382</v>
      </c>
    </row>
    <row r="52" spans="1:21" ht="20.100000000000001" customHeight="1" x14ac:dyDescent="0.25">
      <c r="A52" s="422">
        <f t="shared" si="6"/>
        <v>46</v>
      </c>
      <c r="B52" s="423" t="str">
        <f t="shared" si="4"/>
        <v>Zadovoljena</v>
      </c>
      <c r="C52" s="424" t="s">
        <v>3155</v>
      </c>
      <c r="D52" s="58">
        <v>151</v>
      </c>
      <c r="E52" s="115">
        <f t="shared" si="7"/>
        <v>0</v>
      </c>
      <c r="F52" s="116">
        <f>IF(PRRAS!D672&gt;PRRAS!D159,1,0)</f>
        <v>0</v>
      </c>
      <c r="G52" s="116">
        <f>IF(PRRAS!E672&gt;PRRAS!E159,1,0)</f>
        <v>0</v>
      </c>
      <c r="U52" s="132">
        <v>38495</v>
      </c>
    </row>
    <row r="53" spans="1:21" ht="20.100000000000001" customHeight="1" x14ac:dyDescent="0.25">
      <c r="A53" s="422">
        <f t="shared" si="6"/>
        <v>47</v>
      </c>
      <c r="B53" s="423" t="str">
        <f t="shared" si="4"/>
        <v>Zadovoljena</v>
      </c>
      <c r="C53" s="424" t="s">
        <v>3156</v>
      </c>
      <c r="D53" s="58">
        <v>151</v>
      </c>
      <c r="E53" s="115">
        <f t="shared" si="7"/>
        <v>0</v>
      </c>
      <c r="F53" s="116">
        <f>IF(PRRAS!D673&gt;PRRAS!D176,1,0)</f>
        <v>0</v>
      </c>
      <c r="G53" s="116">
        <f>IF(PRRAS!E673&gt;PRRAS!E176,1,0)</f>
        <v>0</v>
      </c>
      <c r="U53" s="132">
        <v>38500</v>
      </c>
    </row>
    <row r="54" spans="1:21" ht="20.100000000000001" customHeight="1" x14ac:dyDescent="0.25">
      <c r="A54" s="422">
        <f t="shared" si="6"/>
        <v>48</v>
      </c>
      <c r="B54" s="423" t="str">
        <f t="shared" si="4"/>
        <v>Zadovoljena</v>
      </c>
      <c r="C54" s="424" t="s">
        <v>3160</v>
      </c>
      <c r="D54" s="58">
        <v>151</v>
      </c>
      <c r="E54" s="115">
        <f t="shared" si="7"/>
        <v>0</v>
      </c>
      <c r="F54" s="116">
        <f>IF(PRRAS!D674+PRRAS!D675+PRRAS!D676&gt;PRRAS!D177,1,0)</f>
        <v>0</v>
      </c>
      <c r="G54" s="116">
        <f>IF(PRRAS!E674+PRRAS!E675+PRRAS!E676&gt;PRRAS!E177,1,0)</f>
        <v>0</v>
      </c>
      <c r="U54" s="132">
        <v>40834</v>
      </c>
    </row>
    <row r="55" spans="1:21" ht="20.100000000000001" customHeight="1" x14ac:dyDescent="0.25">
      <c r="A55" s="422">
        <f t="shared" si="6"/>
        <v>49</v>
      </c>
      <c r="B55" s="423" t="str">
        <f t="shared" si="4"/>
        <v>Zadovoljena</v>
      </c>
      <c r="C55" s="424" t="s">
        <v>3157</v>
      </c>
      <c r="D55" s="58">
        <v>151</v>
      </c>
      <c r="E55" s="115">
        <f t="shared" si="7"/>
        <v>0</v>
      </c>
      <c r="F55" s="116">
        <f>IF(PRRAS!D677&gt;PRRAS!D183,1,0)</f>
        <v>0</v>
      </c>
      <c r="G55" s="116">
        <f>IF(PRRAS!E677&gt;PRRAS!E183,1,0)</f>
        <v>0</v>
      </c>
      <c r="U55" s="132">
        <v>42750</v>
      </c>
    </row>
    <row r="56" spans="1:21" ht="20.100000000000001" customHeight="1" x14ac:dyDescent="0.25">
      <c r="A56" s="422">
        <f t="shared" si="6"/>
        <v>50</v>
      </c>
      <c r="B56" s="423" t="str">
        <f t="shared" si="4"/>
        <v>Zadovoljena</v>
      </c>
      <c r="C56" s="424" t="s">
        <v>3158</v>
      </c>
      <c r="D56" s="58">
        <v>151</v>
      </c>
      <c r="E56" s="115">
        <f t="shared" si="7"/>
        <v>0</v>
      </c>
      <c r="F56" s="116">
        <f>IF(PRRAS!D678&gt;PRRAS!D184,1,0)</f>
        <v>0</v>
      </c>
      <c r="G56" s="116">
        <f>IF(PRRAS!E678&gt;PRRAS!E184,1,0)</f>
        <v>0</v>
      </c>
      <c r="U56" s="132">
        <v>42768</v>
      </c>
    </row>
    <row r="57" spans="1:21" ht="24.9" customHeight="1" x14ac:dyDescent="0.25">
      <c r="A57" s="422">
        <f t="shared" si="6"/>
        <v>51</v>
      </c>
      <c r="B57" s="423" t="str">
        <f t="shared" si="4"/>
        <v>Zadovoljena</v>
      </c>
      <c r="C57" s="424" t="s">
        <v>3164</v>
      </c>
      <c r="D57" s="58">
        <v>151</v>
      </c>
      <c r="E57" s="115">
        <f t="shared" si="7"/>
        <v>0</v>
      </c>
      <c r="F57" s="116">
        <f>IF(ABS(PRRAS!D191-PRRAS!D679-PRRAS!D680)&gt;1,1,0)</f>
        <v>0</v>
      </c>
      <c r="G57" s="116">
        <f>IF(ABS(PRRAS!E191-PRRAS!E679-PRRAS!E680)&gt;1,1,0)</f>
        <v>0</v>
      </c>
      <c r="U57" s="132">
        <v>43167</v>
      </c>
    </row>
    <row r="58" spans="1:21" ht="24.9" customHeight="1" x14ac:dyDescent="0.25">
      <c r="A58" s="422">
        <f t="shared" si="6"/>
        <v>52</v>
      </c>
      <c r="B58" s="423" t="str">
        <f t="shared" si="4"/>
        <v>Zadovoljena</v>
      </c>
      <c r="C58" s="424" t="s">
        <v>3165</v>
      </c>
      <c r="D58" s="58">
        <v>151</v>
      </c>
      <c r="E58" s="115">
        <f t="shared" si="7"/>
        <v>0</v>
      </c>
      <c r="F58" s="116">
        <f>IF(ABS(PRRAS!D192-PRRAS!D681-PRRAS!D682)&gt;1,1,0)</f>
        <v>0</v>
      </c>
      <c r="G58" s="116">
        <f>IF(ABS(PRRAS!E192-PRRAS!E681-PRRAS!E682)&gt;1,1,0)</f>
        <v>0</v>
      </c>
      <c r="U58" s="132">
        <v>43214</v>
      </c>
    </row>
    <row r="59" spans="1:21" ht="24.9" customHeight="1" x14ac:dyDescent="0.25">
      <c r="A59" s="422">
        <f t="shared" si="6"/>
        <v>53</v>
      </c>
      <c r="B59" s="423" t="str">
        <f t="shared" ref="B59:B96" si="8">IF(E59=1,"Nije zadovoljena", "Zadovoljena")</f>
        <v>Zadovoljena</v>
      </c>
      <c r="C59" s="424" t="s">
        <v>3166</v>
      </c>
      <c r="D59" s="58">
        <v>151</v>
      </c>
      <c r="E59" s="115">
        <f t="shared" si="7"/>
        <v>0</v>
      </c>
      <c r="F59" s="116">
        <f>IF(ABS(PRRAS!D193-PRRAS!D683-PRRAS!D684)&gt;1,1,0)</f>
        <v>0</v>
      </c>
      <c r="G59" s="116">
        <f>IF(ABS(PRRAS!E193-PRRAS!E683-PRRAS!E684)&gt;1,1,0)</f>
        <v>0</v>
      </c>
    </row>
    <row r="60" spans="1:21" ht="24.9" customHeight="1" x14ac:dyDescent="0.25">
      <c r="A60" s="422">
        <f t="shared" si="6"/>
        <v>54</v>
      </c>
      <c r="B60" s="423" t="str">
        <f t="shared" si="8"/>
        <v>Zadovoljena</v>
      </c>
      <c r="C60" s="424" t="s">
        <v>3167</v>
      </c>
      <c r="D60" s="58">
        <v>151</v>
      </c>
      <c r="E60" s="115">
        <f t="shared" si="7"/>
        <v>0</v>
      </c>
      <c r="F60" s="116">
        <f>IF(ABS(PRRAS!D194-PRRAS!D685-PRRAS!D686)&gt;1,1,0)</f>
        <v>0</v>
      </c>
      <c r="G60" s="116">
        <f>IF(ABS(PRRAS!E194-PRRAS!E685-PRRAS!E686)&gt;1,1,0)</f>
        <v>0</v>
      </c>
    </row>
    <row r="61" spans="1:21" ht="24.9" customHeight="1" x14ac:dyDescent="0.25">
      <c r="A61" s="422">
        <f t="shared" si="6"/>
        <v>55</v>
      </c>
      <c r="B61" s="423" t="str">
        <f t="shared" si="8"/>
        <v>Zadovoljena</v>
      </c>
      <c r="C61" s="424" t="s">
        <v>3161</v>
      </c>
      <c r="D61" s="58">
        <v>151</v>
      </c>
      <c r="E61" s="115">
        <f t="shared" si="7"/>
        <v>0</v>
      </c>
      <c r="F61" s="116">
        <f>IF(ABS(PRRAS!D196-SUM(PRRAS!D687:D690))&gt;1,1,0)</f>
        <v>0</v>
      </c>
      <c r="G61" s="116">
        <f>IF(ABS(PRRAS!E196-SUM(PRRAS!E687:E690))&gt;1,1,0)</f>
        <v>0</v>
      </c>
    </row>
    <row r="62" spans="1:21" ht="24.9" customHeight="1" x14ac:dyDescent="0.25">
      <c r="A62" s="422">
        <f t="shared" si="6"/>
        <v>56</v>
      </c>
      <c r="B62" s="423" t="str">
        <f t="shared" si="8"/>
        <v>Zadovoljena</v>
      </c>
      <c r="C62" s="424" t="s">
        <v>3162</v>
      </c>
      <c r="D62" s="58">
        <v>151</v>
      </c>
      <c r="E62" s="115">
        <f t="shared" si="7"/>
        <v>0</v>
      </c>
      <c r="F62" s="116">
        <f>IF(ABS(PRRAS!D197-SUM(PRRAS!D691:D693))&gt;1,1,0)</f>
        <v>0</v>
      </c>
      <c r="G62" s="116">
        <f>IF(ABS(PRRAS!E197-SUM(PRRAS!E691:E693))&gt;1,1,0)</f>
        <v>0</v>
      </c>
    </row>
    <row r="63" spans="1:21" ht="24.9" customHeight="1" x14ac:dyDescent="0.25">
      <c r="A63" s="422">
        <f t="shared" si="6"/>
        <v>57</v>
      </c>
      <c r="B63" s="423" t="str">
        <f t="shared" si="8"/>
        <v>Zadovoljena</v>
      </c>
      <c r="C63" s="424" t="s">
        <v>3163</v>
      </c>
      <c r="D63" s="58">
        <v>151</v>
      </c>
      <c r="E63" s="115">
        <f t="shared" si="7"/>
        <v>0</v>
      </c>
      <c r="F63" s="116">
        <f>IF(ABS(PRRAS!D198-SUM(PRRAS!D694:D699))&gt;1,1,0)</f>
        <v>0</v>
      </c>
      <c r="G63" s="116">
        <f>IF(ABS(PRRAS!E198-SUM(PRRAS!E694:E699))&gt;1,1,0)</f>
        <v>0</v>
      </c>
    </row>
    <row r="64" spans="1:21" ht="20.100000000000001" customHeight="1" x14ac:dyDescent="0.25">
      <c r="A64" s="422">
        <f t="shared" si="6"/>
        <v>58</v>
      </c>
      <c r="B64" s="423" t="str">
        <f t="shared" si="8"/>
        <v>Zadovoljena</v>
      </c>
      <c r="C64" s="424" t="s">
        <v>3169</v>
      </c>
      <c r="D64" s="58">
        <v>151</v>
      </c>
      <c r="E64" s="115">
        <f t="shared" si="7"/>
        <v>0</v>
      </c>
      <c r="F64" s="116">
        <f>IF(PRRAS!D700+PRRAS!D701+PRRAS!D702&gt;PRRAS!D201,1,0)</f>
        <v>0</v>
      </c>
      <c r="G64" s="116">
        <f>IF(PRRAS!E700+PRRAS!E701+PRRAS!E702&gt;PRRAS!E201,1,0)</f>
        <v>0</v>
      </c>
    </row>
    <row r="65" spans="1:7" ht="25.5" customHeight="1" x14ac:dyDescent="0.25">
      <c r="A65" s="422">
        <f t="shared" si="6"/>
        <v>59</v>
      </c>
      <c r="B65" s="423" t="str">
        <f t="shared" si="8"/>
        <v>Zadovoljena</v>
      </c>
      <c r="C65" s="424" t="s">
        <v>3170</v>
      </c>
      <c r="D65" s="58">
        <v>151</v>
      </c>
      <c r="E65" s="115">
        <f t="shared" si="7"/>
        <v>0</v>
      </c>
      <c r="F65" s="116">
        <f>IF(ABS(PRRAS!D202-SUM(PRRAS!D703:D709))&gt;1,1,0)</f>
        <v>0</v>
      </c>
      <c r="G65" s="116">
        <f>IF(ABS(PRRAS!E202-SUM(PRRAS!E703:E709))&gt;1,1,0)</f>
        <v>0</v>
      </c>
    </row>
    <row r="66" spans="1:7" ht="20.100000000000001" customHeight="1" x14ac:dyDescent="0.25">
      <c r="A66" s="422">
        <f t="shared" si="6"/>
        <v>60</v>
      </c>
      <c r="B66" s="423" t="str">
        <f t="shared" si="8"/>
        <v>Zadovoljena</v>
      </c>
      <c r="C66" s="424" t="s">
        <v>3168</v>
      </c>
      <c r="D66" s="58">
        <v>151</v>
      </c>
      <c r="E66" s="115">
        <f t="shared" ref="E66:E96" si="9">MAX(F66:I66)</f>
        <v>0</v>
      </c>
      <c r="F66" s="116">
        <f>IF(PRRAS!D710&gt;PRRAS!D207,1,0)</f>
        <v>0</v>
      </c>
      <c r="G66" s="116">
        <f>IF(PRRAS!E710&gt;PRRAS!E207,1,0)</f>
        <v>0</v>
      </c>
    </row>
    <row r="67" spans="1:7" ht="24.9" customHeight="1" x14ac:dyDescent="0.25">
      <c r="A67" s="422">
        <f t="shared" si="6"/>
        <v>61</v>
      </c>
      <c r="B67" s="423" t="str">
        <f t="shared" si="8"/>
        <v>Zadovoljena</v>
      </c>
      <c r="C67" s="424" t="s">
        <v>3550</v>
      </c>
      <c r="D67" s="58">
        <v>151</v>
      </c>
      <c r="E67" s="115">
        <f t="shared" si="9"/>
        <v>0</v>
      </c>
      <c r="F67" s="116">
        <f>IF(ABS(PRRAS!D215-PRRAS!D711-PRRAS!D712)&gt;1,1,0)</f>
        <v>0</v>
      </c>
      <c r="G67" s="116">
        <f>IF(ABS(PRRAS!E215-PRRAS!E711-PRRAS!E712)&gt;1,1,0)</f>
        <v>0</v>
      </c>
    </row>
    <row r="68" spans="1:7" ht="24.9" customHeight="1" x14ac:dyDescent="0.25">
      <c r="A68" s="422">
        <f t="shared" si="6"/>
        <v>62</v>
      </c>
      <c r="B68" s="423" t="str">
        <f t="shared" si="8"/>
        <v>Zadovoljena</v>
      </c>
      <c r="C68" s="424" t="s">
        <v>3171</v>
      </c>
      <c r="D68" s="58">
        <v>151</v>
      </c>
      <c r="E68" s="115">
        <f t="shared" si="9"/>
        <v>0</v>
      </c>
      <c r="F68" s="116">
        <f>IF(ABS(PRRAS!D224-SUM(PRRAS!D713:D719))&gt;1,1,0)</f>
        <v>0</v>
      </c>
      <c r="G68" s="116">
        <f>IF(ABS(PRRAS!E224-SUM(PRRAS!E713:E719))&gt;1,1,0)</f>
        <v>0</v>
      </c>
    </row>
    <row r="69" spans="1:7" ht="24.9" customHeight="1" x14ac:dyDescent="0.25">
      <c r="A69" s="422">
        <f t="shared" si="6"/>
        <v>63</v>
      </c>
      <c r="B69" s="423" t="str">
        <f t="shared" si="8"/>
        <v>Zadovoljena</v>
      </c>
      <c r="C69" s="424" t="s">
        <v>3172</v>
      </c>
      <c r="D69" s="58">
        <v>151</v>
      </c>
      <c r="E69" s="115">
        <f t="shared" si="9"/>
        <v>0</v>
      </c>
      <c r="F69" s="116">
        <f>IF(ABS(PRRAS!D225-SUM(PRRAS!D720:D726))&gt;1,1,0)</f>
        <v>0</v>
      </c>
      <c r="G69" s="116">
        <f>IF(ABS(PRRAS!E225-SUM(PRRAS!E720:E726))&gt;1,1,0)</f>
        <v>0</v>
      </c>
    </row>
    <row r="70" spans="1:7" ht="24.9" customHeight="1" x14ac:dyDescent="0.25">
      <c r="A70" s="422">
        <f t="shared" si="6"/>
        <v>64</v>
      </c>
      <c r="B70" s="423" t="str">
        <f t="shared" si="8"/>
        <v>Zadovoljena</v>
      </c>
      <c r="C70" s="424" t="s">
        <v>3551</v>
      </c>
      <c r="D70" s="58">
        <v>151</v>
      </c>
      <c r="E70" s="115">
        <f t="shared" si="9"/>
        <v>0</v>
      </c>
      <c r="F70" s="116">
        <f>IF(ABS(PRRAS!D226-SUM(PRRAS!D727:D728))&gt;1,1,0)</f>
        <v>0</v>
      </c>
      <c r="G70" s="116">
        <f>IF(ABS(PRRAS!E226-SUM(PRRAS!E727:E728))&gt;1,1,0)</f>
        <v>0</v>
      </c>
    </row>
    <row r="71" spans="1:7" ht="24.9" customHeight="1" x14ac:dyDescent="0.25">
      <c r="A71" s="422">
        <f t="shared" si="6"/>
        <v>65</v>
      </c>
      <c r="B71" s="423" t="str">
        <f t="shared" si="8"/>
        <v>Zadovoljena</v>
      </c>
      <c r="C71" s="424" t="s">
        <v>3552</v>
      </c>
      <c r="D71" s="58">
        <v>151</v>
      </c>
      <c r="E71" s="115">
        <f t="shared" si="9"/>
        <v>0</v>
      </c>
      <c r="F71" s="116">
        <f>IF(ABS(PRRAS!D227-SUM(PRRAS!D729:D730))&gt;1,1,0)</f>
        <v>0</v>
      </c>
      <c r="G71" s="116">
        <f>IF(ABS(PRRAS!E227-SUM(PRRAS!E729:E730))&gt;1,1,0)</f>
        <v>0</v>
      </c>
    </row>
    <row r="72" spans="1:7" ht="20.100000000000001" customHeight="1" x14ac:dyDescent="0.25">
      <c r="A72" s="422">
        <f t="shared" si="6"/>
        <v>66</v>
      </c>
      <c r="B72" s="423" t="str">
        <f t="shared" si="8"/>
        <v>Zadovoljena</v>
      </c>
      <c r="C72" s="424" t="s">
        <v>3173</v>
      </c>
      <c r="D72" s="58">
        <v>151</v>
      </c>
      <c r="E72" s="115">
        <f t="shared" si="9"/>
        <v>0</v>
      </c>
      <c r="F72" s="116">
        <f>IF(PRRAS!D731+PRRAS!D732&gt;PRRAS!D233,1,0)</f>
        <v>0</v>
      </c>
      <c r="G72" s="116">
        <f>IF(PRRAS!E731+PRRAS!E732&gt;PRRAS!E233,1,0)</f>
        <v>0</v>
      </c>
    </row>
    <row r="73" spans="1:7" ht="20.100000000000001" customHeight="1" x14ac:dyDescent="0.25">
      <c r="A73" s="422">
        <f t="shared" si="6"/>
        <v>67</v>
      </c>
      <c r="B73" s="423" t="str">
        <f t="shared" si="8"/>
        <v>Zadovoljena</v>
      </c>
      <c r="C73" s="424" t="s">
        <v>3534</v>
      </c>
      <c r="D73" s="58">
        <v>151</v>
      </c>
      <c r="E73" s="115">
        <f t="shared" si="9"/>
        <v>0</v>
      </c>
      <c r="F73" s="116">
        <f>IF(PRRAS!D733&gt;PRRAS!D234,1,0)</f>
        <v>0</v>
      </c>
      <c r="G73" s="116">
        <f>IF(PRRAS!E733&gt;PRRAS!E234,1,0)</f>
        <v>0</v>
      </c>
    </row>
    <row r="74" spans="1:7" ht="20.100000000000001" customHeight="1" x14ac:dyDescent="0.25">
      <c r="A74" s="422">
        <f t="shared" si="6"/>
        <v>68</v>
      </c>
      <c r="B74" s="423" t="str">
        <f t="shared" si="8"/>
        <v>Zadovoljena</v>
      </c>
      <c r="C74" s="424" t="s">
        <v>3535</v>
      </c>
      <c r="D74" s="58">
        <v>151</v>
      </c>
      <c r="E74" s="115">
        <f t="shared" si="9"/>
        <v>0</v>
      </c>
      <c r="F74" s="116">
        <f>IF(PRRAS!D734&gt;PRRAS!D237,1,0)</f>
        <v>0</v>
      </c>
      <c r="G74" s="116">
        <f>IF(PRRAS!E734&gt;PRRAS!E237,1,0)</f>
        <v>0</v>
      </c>
    </row>
    <row r="75" spans="1:7" ht="24.9" customHeight="1" x14ac:dyDescent="0.25">
      <c r="A75" s="422">
        <f t="shared" si="6"/>
        <v>69</v>
      </c>
      <c r="B75" s="423" t="str">
        <f t="shared" si="8"/>
        <v>Zadovoljena</v>
      </c>
      <c r="C75" s="424" t="s">
        <v>3543</v>
      </c>
      <c r="D75" s="58">
        <v>151</v>
      </c>
      <c r="E75" s="115">
        <f t="shared" si="9"/>
        <v>0</v>
      </c>
      <c r="F75" s="116">
        <f>IF(ABS(PRRAS!D248-SUM(PRRAS!D735:D738))&gt;1,1,0)</f>
        <v>0</v>
      </c>
      <c r="G75" s="116">
        <f>IF(ABS(PRRAS!E248-SUM(PRRAS!E735:E738))&gt;1,1,0)</f>
        <v>0</v>
      </c>
    </row>
    <row r="76" spans="1:7" ht="24.9" customHeight="1" x14ac:dyDescent="0.25">
      <c r="A76" s="422">
        <f t="shared" si="6"/>
        <v>70</v>
      </c>
      <c r="B76" s="423" t="str">
        <f t="shared" si="8"/>
        <v>Zadovoljena</v>
      </c>
      <c r="C76" s="424" t="s">
        <v>3544</v>
      </c>
      <c r="D76" s="58">
        <v>151</v>
      </c>
      <c r="E76" s="115">
        <f t="shared" si="9"/>
        <v>0</v>
      </c>
      <c r="F76" s="116">
        <f>IF(ABS(PRRAS!D249-SUM(PRRAS!D739:D742))&gt;1,1,0)</f>
        <v>0</v>
      </c>
      <c r="G76" s="116">
        <f>IF(ABS(PRRAS!E249-SUM(PRRAS!E739:E742))&gt;1,1,0)</f>
        <v>0</v>
      </c>
    </row>
    <row r="77" spans="1:7" ht="24.9" customHeight="1" x14ac:dyDescent="0.25">
      <c r="A77" s="422">
        <f t="shared" si="6"/>
        <v>71</v>
      </c>
      <c r="B77" s="423" t="str">
        <f t="shared" si="8"/>
        <v>Zadovoljena</v>
      </c>
      <c r="C77" s="424" t="s">
        <v>1019</v>
      </c>
      <c r="D77" s="58">
        <v>151</v>
      </c>
      <c r="E77" s="115">
        <f t="shared" si="9"/>
        <v>0</v>
      </c>
      <c r="F77" s="116">
        <f>IF(ABS(PRRAS!D250-SUM(PRRAS!D743:D744))&gt;1,1,0)</f>
        <v>0</v>
      </c>
      <c r="G77" s="116">
        <f>IF(ABS(PRRAS!E250-SUM(PRRAS!E743:E744))&gt;1,1,0)</f>
        <v>0</v>
      </c>
    </row>
    <row r="78" spans="1:7" ht="20.100000000000001" customHeight="1" x14ac:dyDescent="0.25">
      <c r="A78" s="422">
        <f t="shared" si="6"/>
        <v>72</v>
      </c>
      <c r="B78" s="423" t="str">
        <f t="shared" si="8"/>
        <v>Zadovoljena</v>
      </c>
      <c r="C78" s="424" t="s">
        <v>3536</v>
      </c>
      <c r="D78" s="58">
        <v>151</v>
      </c>
      <c r="E78" s="115">
        <f t="shared" si="9"/>
        <v>0</v>
      </c>
      <c r="F78" s="116">
        <f>IF(PRRAS!D752&gt;PRRAS!D405,1,0)</f>
        <v>0</v>
      </c>
      <c r="G78" s="116">
        <f>IF(PRRAS!E752&gt;PRRAS!E405,1,0)</f>
        <v>0</v>
      </c>
    </row>
    <row r="79" spans="1:7" ht="20.100000000000001" customHeight="1" x14ac:dyDescent="0.25">
      <c r="A79" s="422">
        <f t="shared" si="6"/>
        <v>73</v>
      </c>
      <c r="B79" s="423" t="str">
        <f t="shared" si="8"/>
        <v>Zadovoljena</v>
      </c>
      <c r="C79" s="424" t="s">
        <v>3537</v>
      </c>
      <c r="D79" s="58">
        <v>151</v>
      </c>
      <c r="E79" s="115">
        <f t="shared" si="9"/>
        <v>0</v>
      </c>
      <c r="F79" s="116">
        <f>IF(PRRAS!D753&gt;PRRAS!D408,1,0)</f>
        <v>0</v>
      </c>
      <c r="G79" s="116">
        <f>IF(PRRAS!E753&gt;PRRAS!E408,1,0)</f>
        <v>0</v>
      </c>
    </row>
    <row r="80" spans="1:7" ht="20.100000000000001" customHeight="1" x14ac:dyDescent="0.25">
      <c r="A80" s="422">
        <f t="shared" si="6"/>
        <v>74</v>
      </c>
      <c r="B80" s="423" t="str">
        <f t="shared" si="8"/>
        <v>Zadovoljena</v>
      </c>
      <c r="C80" s="424" t="s">
        <v>3538</v>
      </c>
      <c r="D80" s="58">
        <v>151</v>
      </c>
      <c r="E80" s="115">
        <f t="shared" si="9"/>
        <v>0</v>
      </c>
      <c r="F80" s="116">
        <f>IF(PRRAS!D754&gt;PRRAS!D409,1,0)</f>
        <v>0</v>
      </c>
      <c r="G80" s="116">
        <f>IF(PRRAS!E754&gt;PRRAS!E409,1,0)</f>
        <v>0</v>
      </c>
    </row>
    <row r="81" spans="1:7" ht="20.100000000000001" customHeight="1" x14ac:dyDescent="0.25">
      <c r="A81" s="422">
        <f t="shared" si="6"/>
        <v>75</v>
      </c>
      <c r="B81" s="423" t="str">
        <f t="shared" si="8"/>
        <v>Zadovoljena</v>
      </c>
      <c r="C81" s="424" t="s">
        <v>3539</v>
      </c>
      <c r="D81" s="58">
        <v>151</v>
      </c>
      <c r="E81" s="115">
        <f t="shared" si="9"/>
        <v>0</v>
      </c>
      <c r="F81" s="116">
        <f>IF(PRRAS!D755&gt;PRRAS!D410,1,0)</f>
        <v>0</v>
      </c>
      <c r="G81" s="116">
        <f>IF(PRRAS!E755&gt;PRRAS!E410,1,0)</f>
        <v>0</v>
      </c>
    </row>
    <row r="82" spans="1:7" ht="28.5" customHeight="1" x14ac:dyDescent="0.25">
      <c r="A82" s="422">
        <f t="shared" si="6"/>
        <v>76</v>
      </c>
      <c r="B82" s="423" t="str">
        <f t="shared" si="8"/>
        <v>Zadovoljena</v>
      </c>
      <c r="C82" s="424" t="s">
        <v>1020</v>
      </c>
      <c r="D82" s="58">
        <v>151</v>
      </c>
      <c r="E82" s="115">
        <f t="shared" si="9"/>
        <v>0</v>
      </c>
      <c r="F82" s="116">
        <f>IF(ABS(PRRAS!D412-SUM(PRRAS!D756:D757))&gt;1,1,0)</f>
        <v>0</v>
      </c>
      <c r="G82" s="116">
        <f>IF(ABS(PRRAS!E412-SUM(PRRAS!E756:E757))&gt;1,1,0)</f>
        <v>0</v>
      </c>
    </row>
    <row r="83" spans="1:7" ht="20.100000000000001" customHeight="1" x14ac:dyDescent="0.25">
      <c r="A83" s="422">
        <f t="shared" si="6"/>
        <v>77</v>
      </c>
      <c r="B83" s="423" t="str">
        <f t="shared" si="8"/>
        <v>Zadovoljena</v>
      </c>
      <c r="C83" s="424" t="s">
        <v>3540</v>
      </c>
      <c r="D83" s="58">
        <v>151</v>
      </c>
      <c r="E83" s="115">
        <f t="shared" si="9"/>
        <v>0</v>
      </c>
      <c r="F83" s="116">
        <f>IF(PRRAS!D758&gt;PRRAS!D414,1,0)</f>
        <v>0</v>
      </c>
      <c r="G83" s="116">
        <f>IF(PRRAS!E758&gt;PRRAS!E414,1,0)</f>
        <v>0</v>
      </c>
    </row>
    <row r="84" spans="1:7" ht="20.100000000000001" customHeight="1" x14ac:dyDescent="0.25">
      <c r="A84" s="422">
        <f t="shared" si="6"/>
        <v>78</v>
      </c>
      <c r="B84" s="423" t="str">
        <f t="shared" si="8"/>
        <v>Zadovoljena</v>
      </c>
      <c r="C84" s="424" t="s">
        <v>3541</v>
      </c>
      <c r="D84" s="58">
        <v>151</v>
      </c>
      <c r="E84" s="115">
        <f t="shared" si="9"/>
        <v>0</v>
      </c>
      <c r="F84" s="116">
        <f>IF(PRRAS!D759&gt;PRRAS!D415,1,0)</f>
        <v>0</v>
      </c>
      <c r="G84" s="116">
        <f>IF(PRRAS!E759&gt;PRRAS!E415,1,0)</f>
        <v>0</v>
      </c>
    </row>
    <row r="85" spans="1:7" ht="20.100000000000001" customHeight="1" x14ac:dyDescent="0.25">
      <c r="A85" s="422">
        <f t="shared" si="6"/>
        <v>79</v>
      </c>
      <c r="B85" s="423" t="str">
        <f t="shared" si="8"/>
        <v>Zadovoljena</v>
      </c>
      <c r="C85" s="424" t="s">
        <v>3542</v>
      </c>
      <c r="D85" s="58">
        <v>151</v>
      </c>
      <c r="E85" s="115">
        <f t="shared" si="9"/>
        <v>0</v>
      </c>
      <c r="F85" s="116">
        <f>IF(PRRAS!D760&gt;PRRAS!D416,1,0)</f>
        <v>0</v>
      </c>
      <c r="G85" s="116">
        <f>IF(PRRAS!E760&gt;PRRAS!E416,1,0)</f>
        <v>0</v>
      </c>
    </row>
    <row r="86" spans="1:7" ht="24.9" customHeight="1" x14ac:dyDescent="0.25">
      <c r="A86" s="422">
        <f t="shared" si="6"/>
        <v>80</v>
      </c>
      <c r="B86" s="423" t="str">
        <f t="shared" si="8"/>
        <v>Zadovoljena</v>
      </c>
      <c r="C86" s="424" t="s">
        <v>1021</v>
      </c>
      <c r="D86" s="58">
        <v>151</v>
      </c>
      <c r="E86" s="115">
        <f t="shared" si="9"/>
        <v>0</v>
      </c>
      <c r="F86" s="116">
        <f>IF(ABS(PRRAS!D421-SUM(PRRAS!D761:D762))&gt;1,1,0)</f>
        <v>0</v>
      </c>
      <c r="G86" s="116">
        <f>IF(ABS(PRRAS!E421-SUM(PRRAS!E761:E762))&gt;1,1,0)</f>
        <v>0</v>
      </c>
    </row>
    <row r="87" spans="1:7" ht="24.9" customHeight="1" x14ac:dyDescent="0.25">
      <c r="A87" s="422">
        <f t="shared" si="6"/>
        <v>81</v>
      </c>
      <c r="B87" s="423" t="str">
        <f t="shared" si="8"/>
        <v>Zadovoljena</v>
      </c>
      <c r="C87" s="424" t="s">
        <v>1022</v>
      </c>
      <c r="D87" s="58">
        <v>151</v>
      </c>
      <c r="E87" s="115">
        <f t="shared" si="9"/>
        <v>0</v>
      </c>
      <c r="F87" s="116">
        <f>IF(ABS(PRRAS!D422-SUM(PRRAS!D763:D764))&gt;1,1,0)</f>
        <v>0</v>
      </c>
      <c r="G87" s="116">
        <f>IF(ABS(PRRAS!E422-SUM(PRRAS!E763:E764))&gt;1,1,0)</f>
        <v>0</v>
      </c>
    </row>
    <row r="88" spans="1:7" ht="24.9" customHeight="1" x14ac:dyDescent="0.25">
      <c r="A88" s="422">
        <f t="shared" si="6"/>
        <v>82</v>
      </c>
      <c r="B88" s="423" t="str">
        <f t="shared" si="8"/>
        <v>Zadovoljena</v>
      </c>
      <c r="C88" s="424" t="s">
        <v>1023</v>
      </c>
      <c r="D88" s="58">
        <v>151</v>
      </c>
      <c r="E88" s="115">
        <f t="shared" si="9"/>
        <v>0</v>
      </c>
      <c r="F88" s="116">
        <f>IF(ABS(PRRAS!D426-SUM(PRRAS!D765:D766))&gt;1,1,0)</f>
        <v>0</v>
      </c>
      <c r="G88" s="116">
        <f>IF(ABS(PRRAS!E426-SUM(PRRAS!E765:E766))&gt;1,1,0)</f>
        <v>0</v>
      </c>
    </row>
    <row r="89" spans="1:7" ht="24.9" customHeight="1" x14ac:dyDescent="0.25">
      <c r="A89" s="422">
        <f t="shared" si="6"/>
        <v>83</v>
      </c>
      <c r="B89" s="423" t="str">
        <f t="shared" si="8"/>
        <v>Zadovoljena</v>
      </c>
      <c r="C89" s="424" t="s">
        <v>1024</v>
      </c>
      <c r="D89" s="58">
        <v>151</v>
      </c>
      <c r="E89" s="115">
        <f t="shared" si="9"/>
        <v>0</v>
      </c>
      <c r="F89" s="116">
        <f>IF(ABS(PRRAS!D427-SUM(PRRAS!D767:D768))&gt;1,1,0)</f>
        <v>0</v>
      </c>
      <c r="G89" s="116">
        <f>IF(ABS(PRRAS!E427-SUM(PRRAS!E767:E768))&gt;1,1,0)</f>
        <v>0</v>
      </c>
    </row>
    <row r="90" spans="1:7" ht="24.9" customHeight="1" x14ac:dyDescent="0.25">
      <c r="A90" s="422">
        <f t="shared" si="6"/>
        <v>84</v>
      </c>
      <c r="B90" s="423" t="str">
        <f t="shared" si="8"/>
        <v>Zadovoljena</v>
      </c>
      <c r="C90" s="424" t="s">
        <v>1025</v>
      </c>
      <c r="D90" s="58">
        <v>151</v>
      </c>
      <c r="E90" s="115">
        <f t="shared" si="9"/>
        <v>0</v>
      </c>
      <c r="F90" s="116">
        <f>IF(ABS(PRRAS!D428-SUM(PRRAS!D769:D770))&gt;1,1,0)</f>
        <v>0</v>
      </c>
      <c r="G90" s="116">
        <f>IF(ABS(PRRAS!E428-SUM(PRRAS!E769:E770))&gt;1,1,0)</f>
        <v>0</v>
      </c>
    </row>
    <row r="91" spans="1:7" ht="24.9" customHeight="1" x14ac:dyDescent="0.25">
      <c r="A91" s="422">
        <f t="shared" si="6"/>
        <v>85</v>
      </c>
      <c r="B91" s="423" t="str">
        <f t="shared" si="8"/>
        <v>Zadovoljena</v>
      </c>
      <c r="C91" s="424" t="s">
        <v>1026</v>
      </c>
      <c r="D91" s="58">
        <v>151</v>
      </c>
      <c r="E91" s="115">
        <f t="shared" si="9"/>
        <v>0</v>
      </c>
      <c r="F91" s="116">
        <f>IF(ABS(PRRAS!D429-SUM(PRRAS!D771:D772))&gt;1,1,0)</f>
        <v>0</v>
      </c>
      <c r="G91" s="116">
        <f>IF(ABS(PRRAS!E429-SUM(PRRAS!E771:E772))&gt;1,1,0)</f>
        <v>0</v>
      </c>
    </row>
    <row r="92" spans="1:7" ht="24.9" customHeight="1" x14ac:dyDescent="0.25">
      <c r="A92" s="422">
        <f t="shared" si="6"/>
        <v>86</v>
      </c>
      <c r="B92" s="423" t="str">
        <f t="shared" si="8"/>
        <v>Zadovoljena</v>
      </c>
      <c r="C92" s="424" t="s">
        <v>1027</v>
      </c>
      <c r="D92" s="58">
        <v>151</v>
      </c>
      <c r="E92" s="115">
        <f t="shared" si="9"/>
        <v>0</v>
      </c>
      <c r="F92" s="116">
        <f>IF(ABS(PRRAS!D430-SUM(PRRAS!D773:D774))&gt;1,1,0)</f>
        <v>0</v>
      </c>
      <c r="G92" s="116">
        <f>IF(ABS(PRRAS!E430-SUM(PRRAS!E773:E774))&gt;1,1,0)</f>
        <v>0</v>
      </c>
    </row>
    <row r="93" spans="1:7" ht="24.9" customHeight="1" x14ac:dyDescent="0.25">
      <c r="A93" s="422">
        <f t="shared" si="6"/>
        <v>87</v>
      </c>
      <c r="B93" s="423" t="str">
        <f t="shared" si="8"/>
        <v>Zadovoljena</v>
      </c>
      <c r="C93" s="424" t="s">
        <v>1028</v>
      </c>
      <c r="D93" s="58">
        <v>151</v>
      </c>
      <c r="E93" s="115">
        <f t="shared" si="9"/>
        <v>0</v>
      </c>
      <c r="F93" s="116">
        <f>IF(ABS(PRRAS!D431-SUM(PRRAS!D775:D776))&gt;1,1,0)</f>
        <v>0</v>
      </c>
      <c r="G93" s="116">
        <f>IF(ABS(PRRAS!E431-SUM(PRRAS!E775:E776))&gt;1,1,0)</f>
        <v>0</v>
      </c>
    </row>
    <row r="94" spans="1:7" ht="24.9" customHeight="1" x14ac:dyDescent="0.25">
      <c r="A94" s="422">
        <f t="shared" si="6"/>
        <v>88</v>
      </c>
      <c r="B94" s="423" t="str">
        <f t="shared" si="8"/>
        <v>Zadovoljena</v>
      </c>
      <c r="C94" s="424" t="s">
        <v>1029</v>
      </c>
      <c r="D94" s="58">
        <v>151</v>
      </c>
      <c r="E94" s="115">
        <f t="shared" si="9"/>
        <v>0</v>
      </c>
      <c r="F94" s="116">
        <f>IF(ABS(PRRAS!D432-SUM(PRRAS!D777:D778))&gt;1,1,0)</f>
        <v>0</v>
      </c>
      <c r="G94" s="116">
        <f>IF(ABS(PRRAS!E432-SUM(PRRAS!E777:E778))&gt;1,1,0)</f>
        <v>0</v>
      </c>
    </row>
    <row r="95" spans="1:7" ht="20.100000000000001" customHeight="1" x14ac:dyDescent="0.25">
      <c r="A95" s="422">
        <f t="shared" si="6"/>
        <v>89</v>
      </c>
      <c r="B95" s="423" t="str">
        <f t="shared" si="8"/>
        <v>Zadovoljena</v>
      </c>
      <c r="C95" s="424" t="s">
        <v>1030</v>
      </c>
      <c r="D95" s="58">
        <v>151</v>
      </c>
      <c r="E95" s="115">
        <f t="shared" si="9"/>
        <v>0</v>
      </c>
      <c r="F95" s="116">
        <f>IF(PRRAS!D779&gt;PRRAS!D444,1,0)</f>
        <v>0</v>
      </c>
      <c r="G95" s="116">
        <f>IF(PRRAS!E779&gt;PRRAS!E444,1,0)</f>
        <v>0</v>
      </c>
    </row>
    <row r="96" spans="1:7" ht="20.100000000000001" customHeight="1" x14ac:dyDescent="0.25">
      <c r="A96" s="422">
        <f t="shared" si="6"/>
        <v>90</v>
      </c>
      <c r="B96" s="423" t="str">
        <f t="shared" si="8"/>
        <v>Zadovoljena</v>
      </c>
      <c r="C96" s="424" t="s">
        <v>1031</v>
      </c>
      <c r="D96" s="58">
        <v>151</v>
      </c>
      <c r="E96" s="115">
        <f t="shared" si="9"/>
        <v>0</v>
      </c>
      <c r="F96" s="116">
        <f>IF(PRRAS!D780&gt;PRRAS!D461,1,0)</f>
        <v>0</v>
      </c>
      <c r="G96" s="116">
        <f>IF(PRRAS!E780&gt;PRRAS!E461,1,0)</f>
        <v>0</v>
      </c>
    </row>
    <row r="97" spans="1:7" ht="20.100000000000001" customHeight="1" x14ac:dyDescent="0.25">
      <c r="A97" s="422">
        <f t="shared" si="6"/>
        <v>91</v>
      </c>
      <c r="B97" s="423" t="str">
        <f t="shared" ref="B97:B142" si="10">IF(E97=1,"Nije zadovoljena", "Zadovoljena")</f>
        <v>Zadovoljena</v>
      </c>
      <c r="C97" s="424" t="s">
        <v>1032</v>
      </c>
      <c r="D97" s="58">
        <v>151</v>
      </c>
      <c r="E97" s="115">
        <f t="shared" ref="E97:E128" si="11">MAX(F97:I97)</f>
        <v>0</v>
      </c>
      <c r="F97" s="116">
        <f>IF(PRRAS!D781&gt;PRRAS!D462,1,0)</f>
        <v>0</v>
      </c>
      <c r="G97" s="116">
        <f>IF(PRRAS!E781&gt;PRRAS!E462,1,0)</f>
        <v>0</v>
      </c>
    </row>
    <row r="98" spans="1:7" ht="20.100000000000001" customHeight="1" x14ac:dyDescent="0.25">
      <c r="A98" s="422">
        <f t="shared" si="6"/>
        <v>92</v>
      </c>
      <c r="B98" s="423" t="str">
        <f t="shared" si="10"/>
        <v>Zadovoljena</v>
      </c>
      <c r="C98" s="424" t="s">
        <v>1033</v>
      </c>
      <c r="D98" s="58">
        <v>151</v>
      </c>
      <c r="E98" s="115">
        <f t="shared" si="11"/>
        <v>0</v>
      </c>
      <c r="F98" s="116">
        <f>IF(PRRAS!D782&gt;PRRAS!D463,1,0)</f>
        <v>0</v>
      </c>
      <c r="G98" s="116">
        <f>IF(PRRAS!E782&gt;PRRAS!E463,1,0)</f>
        <v>0</v>
      </c>
    </row>
    <row r="99" spans="1:7" ht="20.100000000000001" customHeight="1" x14ac:dyDescent="0.25">
      <c r="A99" s="422">
        <f t="shared" si="6"/>
        <v>93</v>
      </c>
      <c r="B99" s="423" t="str">
        <f t="shared" si="10"/>
        <v>Zadovoljena</v>
      </c>
      <c r="C99" s="424" t="s">
        <v>647</v>
      </c>
      <c r="D99" s="58">
        <v>151</v>
      </c>
      <c r="E99" s="115">
        <f t="shared" si="11"/>
        <v>0</v>
      </c>
      <c r="F99" s="116">
        <f>IF(PRRAS!D783&gt;PRRAS!D464,1,0)</f>
        <v>0</v>
      </c>
      <c r="G99" s="116">
        <f>IF(PRRAS!E783&gt;PRRAS!E464,1,0)</f>
        <v>0</v>
      </c>
    </row>
    <row r="100" spans="1:7" ht="24.9" customHeight="1" x14ac:dyDescent="0.25">
      <c r="A100" s="422">
        <f t="shared" si="6"/>
        <v>94</v>
      </c>
      <c r="B100" s="423" t="str">
        <f t="shared" si="10"/>
        <v>Zadovoljena</v>
      </c>
      <c r="C100" s="424" t="s">
        <v>3521</v>
      </c>
      <c r="D100" s="58">
        <v>151</v>
      </c>
      <c r="E100" s="115">
        <f t="shared" si="11"/>
        <v>0</v>
      </c>
      <c r="F100" s="116">
        <f>IF(ABS(PRRAS!D466-PRRAS!D784-PRRAS!D785)&gt;1,1,0)</f>
        <v>0</v>
      </c>
      <c r="G100" s="116">
        <f>IF(ABS(PRRAS!E466-PRRAS!E784-PRRAS!E785)&gt;1,1,0)</f>
        <v>0</v>
      </c>
    </row>
    <row r="101" spans="1:7" ht="20.100000000000001" customHeight="1" x14ac:dyDescent="0.25">
      <c r="A101" s="422">
        <f t="shared" si="6"/>
        <v>95</v>
      </c>
      <c r="B101" s="423" t="str">
        <f t="shared" si="10"/>
        <v>Zadovoljena</v>
      </c>
      <c r="C101" s="424" t="s">
        <v>648</v>
      </c>
      <c r="D101" s="58">
        <v>151</v>
      </c>
      <c r="E101" s="115">
        <f t="shared" si="11"/>
        <v>0</v>
      </c>
      <c r="F101" s="116">
        <f>IF(PRRAS!D786&gt;PRRAS!D467,1,0)</f>
        <v>0</v>
      </c>
      <c r="G101" s="116">
        <f>IF(PRRAS!E786&gt;PRRAS!E467,1,0)</f>
        <v>0</v>
      </c>
    </row>
    <row r="102" spans="1:7" ht="20.100000000000001" customHeight="1" x14ac:dyDescent="0.25">
      <c r="A102" s="422">
        <f t="shared" si="6"/>
        <v>96</v>
      </c>
      <c r="B102" s="423" t="str">
        <f t="shared" si="10"/>
        <v>Zadovoljena</v>
      </c>
      <c r="C102" s="424" t="s">
        <v>649</v>
      </c>
      <c r="D102" s="58">
        <v>151</v>
      </c>
      <c r="E102" s="115">
        <f t="shared" si="11"/>
        <v>0</v>
      </c>
      <c r="F102" s="116">
        <f>IF(PRRAS!D787&gt;PRRAS!D468,1,0)</f>
        <v>0</v>
      </c>
      <c r="G102" s="116">
        <f>IF(PRRAS!E787&gt;PRRAS!E468,1,0)</f>
        <v>0</v>
      </c>
    </row>
    <row r="103" spans="1:7" ht="20.100000000000001" customHeight="1" x14ac:dyDescent="0.25">
      <c r="A103" s="422">
        <f t="shared" si="6"/>
        <v>97</v>
      </c>
      <c r="B103" s="423" t="str">
        <f t="shared" si="10"/>
        <v>Zadovoljena</v>
      </c>
      <c r="C103" s="424" t="s">
        <v>650</v>
      </c>
      <c r="D103" s="58">
        <v>151</v>
      </c>
      <c r="E103" s="115">
        <f t="shared" si="11"/>
        <v>0</v>
      </c>
      <c r="F103" s="116">
        <f>IF(PRRAS!D788&gt;PRRAS!D470,1,0)</f>
        <v>0</v>
      </c>
      <c r="G103" s="116">
        <f>IF(PRRAS!E788&gt;PRRAS!E470,1,0)</f>
        <v>0</v>
      </c>
    </row>
    <row r="104" spans="1:7" ht="24.9" customHeight="1" x14ac:dyDescent="0.25">
      <c r="A104" s="422">
        <f t="shared" si="6"/>
        <v>98</v>
      </c>
      <c r="B104" s="423" t="str">
        <f t="shared" si="10"/>
        <v>Zadovoljena</v>
      </c>
      <c r="C104" s="424" t="s">
        <v>3522</v>
      </c>
      <c r="D104" s="58">
        <v>151</v>
      </c>
      <c r="E104" s="115">
        <f t="shared" si="11"/>
        <v>0</v>
      </c>
      <c r="F104" s="116">
        <f>IF(ABS(PRRAS!D472-PRRAS!D789-PRRAS!D790)&gt;1,1,0)</f>
        <v>0</v>
      </c>
      <c r="G104" s="116">
        <f>IF(ABS(PRRAS!E472-PRRAS!E789-PRRAS!E790)&gt;1,1,0)</f>
        <v>0</v>
      </c>
    </row>
    <row r="105" spans="1:7" ht="20.100000000000001" customHeight="1" x14ac:dyDescent="0.25">
      <c r="A105" s="422">
        <f t="shared" si="6"/>
        <v>99</v>
      </c>
      <c r="B105" s="423" t="str">
        <f t="shared" si="10"/>
        <v>Zadovoljena</v>
      </c>
      <c r="C105" s="424" t="s">
        <v>651</v>
      </c>
      <c r="D105" s="58">
        <v>151</v>
      </c>
      <c r="E105" s="115">
        <f t="shared" si="11"/>
        <v>0</v>
      </c>
      <c r="F105" s="116">
        <f>IF(PRRAS!D791&gt;PRRAS!D473,1,0)</f>
        <v>0</v>
      </c>
      <c r="G105" s="116">
        <f>IF(PRRAS!E791&gt;PRRAS!E473,1,0)</f>
        <v>0</v>
      </c>
    </row>
    <row r="106" spans="1:7" ht="20.100000000000001" customHeight="1" x14ac:dyDescent="0.25">
      <c r="A106" s="422">
        <f t="shared" si="6"/>
        <v>100</v>
      </c>
      <c r="B106" s="423" t="str">
        <f t="shared" si="10"/>
        <v>Zadovoljena</v>
      </c>
      <c r="C106" s="424" t="s">
        <v>652</v>
      </c>
      <c r="D106" s="58">
        <v>151</v>
      </c>
      <c r="E106" s="115">
        <f t="shared" si="11"/>
        <v>0</v>
      </c>
      <c r="F106" s="116">
        <f>IF(PRRAS!D792&gt;PRRAS!D474,1,0)</f>
        <v>0</v>
      </c>
      <c r="G106" s="116">
        <f>IF(PRRAS!E792&gt;PRRAS!E474,1,0)</f>
        <v>0</v>
      </c>
    </row>
    <row r="107" spans="1:7" ht="24.9" customHeight="1" x14ac:dyDescent="0.25">
      <c r="A107" s="422">
        <f t="shared" si="6"/>
        <v>101</v>
      </c>
      <c r="B107" s="423" t="str">
        <f t="shared" si="10"/>
        <v>Zadovoljena</v>
      </c>
      <c r="C107" s="424" t="s">
        <v>3523</v>
      </c>
      <c r="D107" s="58">
        <v>151</v>
      </c>
      <c r="E107" s="115">
        <f t="shared" si="11"/>
        <v>0</v>
      </c>
      <c r="F107" s="116">
        <f>IF(ABS(PRRAS!D475-PRRAS!D793-PRRAS!D794)&gt;1,1,0)</f>
        <v>0</v>
      </c>
      <c r="G107" s="116">
        <f>IF(ABS(PRRAS!E475-PRRAS!E793-PRRAS!E794)&gt;1,1,0)</f>
        <v>0</v>
      </c>
    </row>
    <row r="108" spans="1:7" ht="20.100000000000001" customHeight="1" x14ac:dyDescent="0.25">
      <c r="A108" s="422">
        <f t="shared" si="6"/>
        <v>102</v>
      </c>
      <c r="B108" s="423" t="str">
        <f t="shared" si="10"/>
        <v>Zadovoljena</v>
      </c>
      <c r="C108" s="424" t="s">
        <v>653</v>
      </c>
      <c r="D108" s="58">
        <v>151</v>
      </c>
      <c r="E108" s="115">
        <f t="shared" si="11"/>
        <v>0</v>
      </c>
      <c r="F108" s="116">
        <f>IF(PRRAS!D795&gt;PRRAS!D476,1,0)</f>
        <v>0</v>
      </c>
      <c r="G108" s="116">
        <f>IF(PRRAS!E795&gt;PRRAS!E476,1,0)</f>
        <v>0</v>
      </c>
    </row>
    <row r="109" spans="1:7" ht="20.100000000000001" customHeight="1" x14ac:dyDescent="0.25">
      <c r="A109" s="422">
        <f t="shared" si="6"/>
        <v>103</v>
      </c>
      <c r="B109" s="423" t="str">
        <f t="shared" si="10"/>
        <v>Zadovoljena</v>
      </c>
      <c r="C109" s="424" t="s">
        <v>654</v>
      </c>
      <c r="D109" s="58">
        <v>151</v>
      </c>
      <c r="E109" s="115">
        <f t="shared" si="11"/>
        <v>0</v>
      </c>
      <c r="F109" s="116">
        <f>IF(PRRAS!D796&gt;PRRAS!D477,1,0)</f>
        <v>0</v>
      </c>
      <c r="G109" s="116">
        <f>IF(PRRAS!E796&gt;PRRAS!E477,1,0)</f>
        <v>0</v>
      </c>
    </row>
    <row r="110" spans="1:7" ht="20.100000000000001" customHeight="1" x14ac:dyDescent="0.25">
      <c r="A110" s="422">
        <f t="shared" si="6"/>
        <v>104</v>
      </c>
      <c r="B110" s="423" t="str">
        <f t="shared" si="10"/>
        <v>Zadovoljena</v>
      </c>
      <c r="C110" s="424" t="s">
        <v>655</v>
      </c>
      <c r="D110" s="58">
        <v>151</v>
      </c>
      <c r="E110" s="115">
        <f t="shared" si="11"/>
        <v>0</v>
      </c>
      <c r="F110" s="116">
        <f>IF(PRRAS!D797&gt;PRRAS!D479,1,0)</f>
        <v>0</v>
      </c>
      <c r="G110" s="116">
        <f>IF(PRRAS!E797&gt;PRRAS!E479,1,0)</f>
        <v>0</v>
      </c>
    </row>
    <row r="111" spans="1:7" ht="20.100000000000001" customHeight="1" x14ac:dyDescent="0.25">
      <c r="A111" s="422">
        <f t="shared" si="6"/>
        <v>105</v>
      </c>
      <c r="B111" s="423" t="str">
        <f t="shared" si="10"/>
        <v>Zadovoljena</v>
      </c>
      <c r="C111" s="424" t="s">
        <v>656</v>
      </c>
      <c r="D111" s="58">
        <v>151</v>
      </c>
      <c r="E111" s="115">
        <f t="shared" si="11"/>
        <v>0</v>
      </c>
      <c r="F111" s="116">
        <f>IF(PRRAS!D798&gt;PRRAS!D480,1,0)</f>
        <v>0</v>
      </c>
      <c r="G111" s="116">
        <f>IF(PRRAS!E798&gt;PRRAS!E480,1,0)</f>
        <v>0</v>
      </c>
    </row>
    <row r="112" spans="1:7" ht="20.100000000000001" customHeight="1" x14ac:dyDescent="0.25">
      <c r="A112" s="422">
        <f t="shared" si="6"/>
        <v>106</v>
      </c>
      <c r="B112" s="423" t="str">
        <f t="shared" si="10"/>
        <v>Zadovoljena</v>
      </c>
      <c r="C112" s="424" t="s">
        <v>657</v>
      </c>
      <c r="D112" s="58">
        <v>151</v>
      </c>
      <c r="E112" s="115">
        <f t="shared" si="11"/>
        <v>0</v>
      </c>
      <c r="F112" s="116">
        <f>IF(PRRAS!D799&gt;PRRAS!D481,1,0)</f>
        <v>0</v>
      </c>
      <c r="G112" s="116">
        <f>IF(PRRAS!E799&gt;PRRAS!E481,1,0)</f>
        <v>0</v>
      </c>
    </row>
    <row r="113" spans="1:7" ht="24.9" customHeight="1" x14ac:dyDescent="0.25">
      <c r="A113" s="422">
        <f t="shared" si="6"/>
        <v>107</v>
      </c>
      <c r="B113" s="423" t="str">
        <f t="shared" si="10"/>
        <v>Zadovoljena</v>
      </c>
      <c r="C113" s="424" t="s">
        <v>3524</v>
      </c>
      <c r="D113" s="58">
        <v>151</v>
      </c>
      <c r="E113" s="115">
        <f t="shared" si="11"/>
        <v>0</v>
      </c>
      <c r="F113" s="116">
        <f>IF(ABS(PRRAS!D484-PRRAS!D800-PRRAS!D801)&gt;1,1,0)</f>
        <v>0</v>
      </c>
      <c r="G113" s="116">
        <f>IF(ABS(PRRAS!E484-PRRAS!E800-PRRAS!E801)&gt;1,1,0)</f>
        <v>0</v>
      </c>
    </row>
    <row r="114" spans="1:7" ht="24.9" customHeight="1" x14ac:dyDescent="0.25">
      <c r="A114" s="422">
        <f t="shared" si="6"/>
        <v>108</v>
      </c>
      <c r="B114" s="423" t="str">
        <f t="shared" si="10"/>
        <v>Zadovoljena</v>
      </c>
      <c r="C114" s="424" t="s">
        <v>3525</v>
      </c>
      <c r="D114" s="58">
        <v>151</v>
      </c>
      <c r="E114" s="115">
        <f t="shared" si="11"/>
        <v>0</v>
      </c>
      <c r="F114" s="116">
        <f>IF(ABS(PRRAS!D485-PRRAS!D802-PRRAS!D803)&gt;1,1,0)</f>
        <v>0</v>
      </c>
      <c r="G114" s="116">
        <f>IF(ABS(PRRAS!E485-PRRAS!E802-PRRAS!E803)&gt;1,1,0)</f>
        <v>0</v>
      </c>
    </row>
    <row r="115" spans="1:7" ht="24.9" customHeight="1" x14ac:dyDescent="0.25">
      <c r="A115" s="422">
        <f t="shared" si="6"/>
        <v>109</v>
      </c>
      <c r="B115" s="423" t="str">
        <f t="shared" si="10"/>
        <v>Zadovoljena</v>
      </c>
      <c r="C115" s="424" t="s">
        <v>3526</v>
      </c>
      <c r="D115" s="58">
        <v>151</v>
      </c>
      <c r="E115" s="115">
        <f t="shared" si="11"/>
        <v>0</v>
      </c>
      <c r="F115" s="116">
        <f>IF(ABS(PRRAS!D486-PRRAS!D804-PRRAS!D805)&gt;1,1,0)</f>
        <v>0</v>
      </c>
      <c r="G115" s="116">
        <f>IF(ABS(PRRAS!E486-PRRAS!E804-PRRAS!E805)&gt;1,1,0)</f>
        <v>0</v>
      </c>
    </row>
    <row r="116" spans="1:7" ht="24.9" customHeight="1" x14ac:dyDescent="0.25">
      <c r="A116" s="422">
        <f t="shared" si="6"/>
        <v>110</v>
      </c>
      <c r="B116" s="423" t="str">
        <f t="shared" si="10"/>
        <v>Zadovoljena</v>
      </c>
      <c r="C116" s="424" t="s">
        <v>1437</v>
      </c>
      <c r="D116" s="58">
        <v>151</v>
      </c>
      <c r="E116" s="115">
        <f t="shared" si="11"/>
        <v>0</v>
      </c>
      <c r="F116" s="116">
        <f>IF(ABS(PRRAS!D487-PRRAS!D806-PRRAS!D807)&gt;1,1,0)</f>
        <v>0</v>
      </c>
      <c r="G116" s="116">
        <f>IF(ABS(PRRAS!E487-PRRAS!E806-PRRAS!E807)&gt;1,1,0)</f>
        <v>0</v>
      </c>
    </row>
    <row r="117" spans="1:7" ht="24.9" customHeight="1" x14ac:dyDescent="0.25">
      <c r="A117" s="422">
        <f t="shared" si="6"/>
        <v>111</v>
      </c>
      <c r="B117" s="423" t="str">
        <f t="shared" si="10"/>
        <v>Zadovoljena</v>
      </c>
      <c r="C117" s="424" t="s">
        <v>1438</v>
      </c>
      <c r="D117" s="58">
        <v>151</v>
      </c>
      <c r="E117" s="115">
        <f t="shared" si="11"/>
        <v>0</v>
      </c>
      <c r="F117" s="116">
        <f>IF(ABS(PRRAS!D488-PRRAS!D808-PRRAS!D809)&gt;1,1,0)</f>
        <v>0</v>
      </c>
      <c r="G117" s="116">
        <f>IF(ABS(PRRAS!E488-PRRAS!E808-PRRAS!E809)&gt;1,1,0)</f>
        <v>0</v>
      </c>
    </row>
    <row r="118" spans="1:7" ht="24.9" customHeight="1" x14ac:dyDescent="0.25">
      <c r="A118" s="422">
        <f t="shared" si="6"/>
        <v>112</v>
      </c>
      <c r="B118" s="423" t="str">
        <f t="shared" si="10"/>
        <v>Zadovoljena</v>
      </c>
      <c r="C118" s="424" t="s">
        <v>1439</v>
      </c>
      <c r="D118" s="58">
        <v>151</v>
      </c>
      <c r="E118" s="115">
        <f t="shared" si="11"/>
        <v>0</v>
      </c>
      <c r="F118" s="116">
        <f>IF(ABS(PRRAS!D489-PRRAS!D810-PRRAS!D811)&gt;1,1,0)</f>
        <v>0</v>
      </c>
      <c r="G118" s="116">
        <f>IF(ABS(PRRAS!E489-PRRAS!E810-PRRAS!E811)&gt;1,1,0)</f>
        <v>0</v>
      </c>
    </row>
    <row r="119" spans="1:7" ht="20.100000000000001" customHeight="1" x14ac:dyDescent="0.25">
      <c r="A119" s="422">
        <f t="shared" si="6"/>
        <v>113</v>
      </c>
      <c r="B119" s="423" t="str">
        <f t="shared" si="10"/>
        <v>Zadovoljena</v>
      </c>
      <c r="C119" s="424" t="s">
        <v>2877</v>
      </c>
      <c r="D119" s="58">
        <v>151</v>
      </c>
      <c r="E119" s="115">
        <f t="shared" si="11"/>
        <v>0</v>
      </c>
      <c r="F119" s="116">
        <f>IF(PRRAS!D812&gt;PRRAS!D501,1,0)</f>
        <v>0</v>
      </c>
      <c r="G119" s="116">
        <f>IF(PRRAS!E812&gt;PRRAS!E501,1,0)</f>
        <v>0</v>
      </c>
    </row>
    <row r="120" spans="1:7" ht="20.100000000000001" customHeight="1" x14ac:dyDescent="0.25">
      <c r="A120" s="422">
        <f t="shared" si="6"/>
        <v>114</v>
      </c>
      <c r="B120" s="423" t="str">
        <f t="shared" si="10"/>
        <v>Zadovoljena</v>
      </c>
      <c r="C120" s="424" t="s">
        <v>2878</v>
      </c>
      <c r="D120" s="58">
        <v>151</v>
      </c>
      <c r="E120" s="115">
        <f t="shared" si="11"/>
        <v>0</v>
      </c>
      <c r="F120" s="116">
        <f>IF(PRRAS!D814&gt;PRRAS!D511,1,0)</f>
        <v>0</v>
      </c>
      <c r="G120" s="116">
        <f>IF(PRRAS!E814&gt;PRRAS!E511,1,0)</f>
        <v>0</v>
      </c>
    </row>
    <row r="121" spans="1:7" ht="20.100000000000001" customHeight="1" x14ac:dyDescent="0.25">
      <c r="A121" s="422">
        <f t="shared" si="6"/>
        <v>115</v>
      </c>
      <c r="B121" s="423" t="str">
        <f t="shared" si="10"/>
        <v>Zadovoljena</v>
      </c>
      <c r="C121" s="424" t="s">
        <v>2879</v>
      </c>
      <c r="D121" s="58">
        <v>151</v>
      </c>
      <c r="E121" s="115">
        <f t="shared" si="11"/>
        <v>0</v>
      </c>
      <c r="F121" s="116">
        <f>IF(PRRAS!D815&gt;PRRAS!D514,1,0)</f>
        <v>0</v>
      </c>
      <c r="G121" s="116">
        <f>IF(PRRAS!E815&gt;PRRAS!E514,1,0)</f>
        <v>0</v>
      </c>
    </row>
    <row r="122" spans="1:7" ht="20.100000000000001" customHeight="1" x14ac:dyDescent="0.25">
      <c r="A122" s="422">
        <f t="shared" si="6"/>
        <v>116</v>
      </c>
      <c r="B122" s="423" t="str">
        <f t="shared" si="10"/>
        <v>Zadovoljena</v>
      </c>
      <c r="C122" s="424" t="s">
        <v>2880</v>
      </c>
      <c r="D122" s="58">
        <v>151</v>
      </c>
      <c r="E122" s="115">
        <f t="shared" si="11"/>
        <v>0</v>
      </c>
      <c r="F122" s="116">
        <f>IF(PRRAS!D816&gt;PRRAS!D515,1,0)</f>
        <v>0</v>
      </c>
      <c r="G122" s="116">
        <f>IF(PRRAS!E816&gt;PRRAS!E515,1,0)</f>
        <v>0</v>
      </c>
    </row>
    <row r="123" spans="1:7" ht="20.100000000000001" customHeight="1" x14ac:dyDescent="0.25">
      <c r="A123" s="422">
        <f t="shared" si="6"/>
        <v>117</v>
      </c>
      <c r="B123" s="423" t="str">
        <f t="shared" si="10"/>
        <v>Zadovoljena</v>
      </c>
      <c r="C123" s="424" t="s">
        <v>2881</v>
      </c>
      <c r="D123" s="58">
        <v>151</v>
      </c>
      <c r="E123" s="115">
        <f t="shared" si="11"/>
        <v>0</v>
      </c>
      <c r="F123" s="116">
        <f>IF(PRRAS!D817&gt;PRRAS!D516,1,0)</f>
        <v>0</v>
      </c>
      <c r="G123" s="116">
        <f>IF(PRRAS!E817&gt;PRRAS!E516,1,0)</f>
        <v>0</v>
      </c>
    </row>
    <row r="124" spans="1:7" ht="24.9" customHeight="1" x14ac:dyDescent="0.25">
      <c r="A124" s="422">
        <f t="shared" si="6"/>
        <v>118</v>
      </c>
      <c r="B124" s="423" t="str">
        <f t="shared" si="10"/>
        <v>Zadovoljena</v>
      </c>
      <c r="C124" s="424" t="s">
        <v>1151</v>
      </c>
      <c r="D124" s="58">
        <v>151</v>
      </c>
      <c r="E124" s="115">
        <f t="shared" si="11"/>
        <v>0</v>
      </c>
      <c r="F124" s="116">
        <f>IF(ABS(PRRAS!D518-PRRAS!D818-PRRAS!D819)&gt;1,1,0)</f>
        <v>0</v>
      </c>
      <c r="G124" s="116">
        <f>IF(ABS(PRRAS!E518-PRRAS!E818-PRRAS!E819)&gt;1,1,0)</f>
        <v>0</v>
      </c>
    </row>
    <row r="125" spans="1:7" ht="20.100000000000001" customHeight="1" x14ac:dyDescent="0.25">
      <c r="A125" s="422">
        <f t="shared" si="6"/>
        <v>119</v>
      </c>
      <c r="B125" s="423" t="str">
        <f t="shared" si="10"/>
        <v>Zadovoljena</v>
      </c>
      <c r="C125" s="424" t="s">
        <v>2882</v>
      </c>
      <c r="D125" s="58">
        <v>151</v>
      </c>
      <c r="E125" s="115">
        <f t="shared" si="11"/>
        <v>0</v>
      </c>
      <c r="F125" s="116">
        <f>IF(PRRAS!D820&gt;PRRAS!D520,1,0)</f>
        <v>0</v>
      </c>
      <c r="G125" s="116">
        <f>IF(PRRAS!E820&gt;PRRAS!E520,1,0)</f>
        <v>0</v>
      </c>
    </row>
    <row r="126" spans="1:7" ht="20.100000000000001" customHeight="1" x14ac:dyDescent="0.25">
      <c r="A126" s="422">
        <f t="shared" si="6"/>
        <v>120</v>
      </c>
      <c r="B126" s="423" t="str">
        <f t="shared" si="10"/>
        <v>Zadovoljena</v>
      </c>
      <c r="C126" s="424" t="s">
        <v>2883</v>
      </c>
      <c r="D126" s="58">
        <v>151</v>
      </c>
      <c r="E126" s="115">
        <f t="shared" si="11"/>
        <v>0</v>
      </c>
      <c r="F126" s="116">
        <f>IF(PRRAS!D821&gt;PRRAS!D521,1,0)</f>
        <v>0</v>
      </c>
      <c r="G126" s="116">
        <f>IF(PRRAS!E821&gt;PRRAS!E521,1,0)</f>
        <v>0</v>
      </c>
    </row>
    <row r="127" spans="1:7" ht="20.100000000000001" customHeight="1" x14ac:dyDescent="0.25">
      <c r="A127" s="422">
        <f t="shared" si="6"/>
        <v>121</v>
      </c>
      <c r="B127" s="423" t="str">
        <f t="shared" si="10"/>
        <v>Zadovoljena</v>
      </c>
      <c r="C127" s="424" t="s">
        <v>2884</v>
      </c>
      <c r="D127" s="58">
        <v>151</v>
      </c>
      <c r="E127" s="115">
        <f t="shared" si="11"/>
        <v>0</v>
      </c>
      <c r="F127" s="116">
        <f>IF(PRRAS!D822&gt;PRRAS!D522,1,0)</f>
        <v>0</v>
      </c>
      <c r="G127" s="116">
        <f>IF(PRRAS!E822&gt;PRRAS!E522,1,0)</f>
        <v>0</v>
      </c>
    </row>
    <row r="128" spans="1:7" ht="24.9" customHeight="1" x14ac:dyDescent="0.25">
      <c r="A128" s="422">
        <f t="shared" si="6"/>
        <v>122</v>
      </c>
      <c r="B128" s="423" t="str">
        <f t="shared" si="10"/>
        <v>Zadovoljena</v>
      </c>
      <c r="C128" s="424" t="s">
        <v>1152</v>
      </c>
      <c r="D128" s="58">
        <v>151</v>
      </c>
      <c r="E128" s="115">
        <f t="shared" si="11"/>
        <v>0</v>
      </c>
      <c r="F128" s="116">
        <f>IF(ABS(PRRAS!D527-PRRAS!D823-PRRAS!D824)&gt;1,1,0)</f>
        <v>0</v>
      </c>
      <c r="G128" s="116">
        <f>IF(ABS(PRRAS!E527-PRRAS!E823-PRRAS!E824)&gt;1,1,0)</f>
        <v>0</v>
      </c>
    </row>
    <row r="129" spans="1:7" ht="24.9" customHeight="1" x14ac:dyDescent="0.25">
      <c r="A129" s="422">
        <f t="shared" si="6"/>
        <v>123</v>
      </c>
      <c r="B129" s="423" t="str">
        <f t="shared" si="10"/>
        <v>Zadovoljena</v>
      </c>
      <c r="C129" s="424" t="s">
        <v>1153</v>
      </c>
      <c r="D129" s="58">
        <v>151</v>
      </c>
      <c r="E129" s="115">
        <f t="shared" ref="E129:E151" si="12">MAX(F129:I129)</f>
        <v>0</v>
      </c>
      <c r="F129" s="116">
        <f>IF(ABS(PRRAS!D528-PRRAS!D825-PRRAS!D826)&gt;1,1,0)</f>
        <v>0</v>
      </c>
      <c r="G129" s="116">
        <f>IF(ABS(PRRAS!E528-PRRAS!E825-PRRAS!E826)&gt;1,1,0)</f>
        <v>0</v>
      </c>
    </row>
    <row r="130" spans="1:7" ht="24.9" customHeight="1" x14ac:dyDescent="0.25">
      <c r="A130" s="422">
        <f t="shared" si="6"/>
        <v>124</v>
      </c>
      <c r="B130" s="423" t="str">
        <f t="shared" si="10"/>
        <v>Zadovoljena</v>
      </c>
      <c r="C130" s="424" t="s">
        <v>1154</v>
      </c>
      <c r="D130" s="58">
        <v>151</v>
      </c>
      <c r="E130" s="115">
        <f t="shared" si="12"/>
        <v>0</v>
      </c>
      <c r="F130" s="116">
        <f>IF(ABS(PRRAS!D532-PRRAS!D827-PRRAS!D828)&gt;1,1,0)</f>
        <v>0</v>
      </c>
      <c r="G130" s="116">
        <f>IF(ABS(PRRAS!E532-PRRAS!E827-PRRAS!E828)&gt;1,1,0)</f>
        <v>0</v>
      </c>
    </row>
    <row r="131" spans="1:7" ht="24.9" customHeight="1" x14ac:dyDescent="0.25">
      <c r="A131" s="422">
        <f t="shared" si="6"/>
        <v>125</v>
      </c>
      <c r="B131" s="423" t="str">
        <f t="shared" si="10"/>
        <v>Zadovoljena</v>
      </c>
      <c r="C131" s="424" t="s">
        <v>1155</v>
      </c>
      <c r="D131" s="58">
        <v>151</v>
      </c>
      <c r="E131" s="115">
        <f t="shared" si="12"/>
        <v>0</v>
      </c>
      <c r="F131" s="116">
        <f>IF(ABS(PRRAS!D533-PRRAS!D829-PRRAS!D830)&gt;1,1,0)</f>
        <v>0</v>
      </c>
      <c r="G131" s="116">
        <f>IF(ABS(PRRAS!E533-PRRAS!E829-PRRAS!E830)&gt;1,1,0)</f>
        <v>0</v>
      </c>
    </row>
    <row r="132" spans="1:7" ht="24.9" customHeight="1" x14ac:dyDescent="0.25">
      <c r="A132" s="422">
        <f t="shared" si="6"/>
        <v>126</v>
      </c>
      <c r="B132" s="423" t="str">
        <f t="shared" si="10"/>
        <v>Zadovoljena</v>
      </c>
      <c r="C132" s="424" t="s">
        <v>1156</v>
      </c>
      <c r="D132" s="58">
        <v>151</v>
      </c>
      <c r="E132" s="115">
        <f t="shared" si="12"/>
        <v>0</v>
      </c>
      <c r="F132" s="116">
        <f>IF(ABS(PRRAS!D534-PRRAS!D831-PRRAS!D832)&gt;1,1,0)</f>
        <v>0</v>
      </c>
      <c r="G132" s="116">
        <f>IF(ABS(PRRAS!E534-PRRAS!E831-PRRAS!E832)&gt;1,1,0)</f>
        <v>0</v>
      </c>
    </row>
    <row r="133" spans="1:7" ht="24.9" customHeight="1" x14ac:dyDescent="0.25">
      <c r="A133" s="422">
        <f t="shared" si="6"/>
        <v>127</v>
      </c>
      <c r="B133" s="423" t="str">
        <f t="shared" si="10"/>
        <v>Zadovoljena</v>
      </c>
      <c r="C133" s="424" t="s">
        <v>1157</v>
      </c>
      <c r="D133" s="58">
        <v>151</v>
      </c>
      <c r="E133" s="115">
        <f t="shared" si="12"/>
        <v>0</v>
      </c>
      <c r="F133" s="116">
        <f>IF(ABS(PRRAS!D535-PRRAS!D833-PRRAS!D834)&gt;1,1,0)</f>
        <v>0</v>
      </c>
      <c r="G133" s="116">
        <f>IF(ABS(PRRAS!E535-PRRAS!E833-PRRAS!E834)&gt;1,1,0)</f>
        <v>0</v>
      </c>
    </row>
    <row r="134" spans="1:7" ht="24.9" customHeight="1" x14ac:dyDescent="0.25">
      <c r="A134" s="422">
        <f t="shared" si="6"/>
        <v>128</v>
      </c>
      <c r="B134" s="423" t="str">
        <f t="shared" si="10"/>
        <v>Zadovoljena</v>
      </c>
      <c r="C134" s="424" t="s">
        <v>1158</v>
      </c>
      <c r="D134" s="58">
        <v>151</v>
      </c>
      <c r="E134" s="115">
        <f t="shared" si="12"/>
        <v>0</v>
      </c>
      <c r="F134" s="116">
        <f>IF(ABS(PRRAS!D536-PRRAS!D835-PRRAS!D836)&gt;1,1,0)</f>
        <v>0</v>
      </c>
      <c r="G134" s="116">
        <f>IF(ABS(PRRAS!E536-PRRAS!E835-PRRAS!E836)&gt;1,1,0)</f>
        <v>0</v>
      </c>
    </row>
    <row r="135" spans="1:7" ht="24.9" customHeight="1" x14ac:dyDescent="0.25">
      <c r="A135" s="422">
        <f t="shared" si="6"/>
        <v>129</v>
      </c>
      <c r="B135" s="423" t="str">
        <f t="shared" si="10"/>
        <v>Zadovoljena</v>
      </c>
      <c r="C135" s="424" t="s">
        <v>1159</v>
      </c>
      <c r="D135" s="58">
        <v>151</v>
      </c>
      <c r="E135" s="115">
        <f t="shared" si="12"/>
        <v>0</v>
      </c>
      <c r="F135" s="116">
        <f>IF(ABS(PRRAS!D537-PRRAS!D837-PRRAS!D838)&gt;1,1,0)</f>
        <v>0</v>
      </c>
      <c r="G135" s="116">
        <f>IF(ABS(PRRAS!E537-PRRAS!E837-PRRAS!E838)&gt;1,1,0)</f>
        <v>0</v>
      </c>
    </row>
    <row r="136" spans="1:7" ht="24.9" customHeight="1" x14ac:dyDescent="0.25">
      <c r="A136" s="422">
        <f t="shared" si="6"/>
        <v>130</v>
      </c>
      <c r="B136" s="423" t="str">
        <f t="shared" si="10"/>
        <v>Zadovoljena</v>
      </c>
      <c r="C136" s="424" t="s">
        <v>1160</v>
      </c>
      <c r="D136" s="58">
        <v>151</v>
      </c>
      <c r="E136" s="115">
        <f t="shared" si="12"/>
        <v>0</v>
      </c>
      <c r="F136" s="116">
        <f>IF(ABS(PRRAS!D538-PRRAS!D839-PRRAS!D840)&gt;1,1,0)</f>
        <v>0</v>
      </c>
      <c r="G136" s="116">
        <f>IF(ABS(PRRAS!E538-PRRAS!E839-PRRAS!E840)&gt;1,1,0)</f>
        <v>0</v>
      </c>
    </row>
    <row r="137" spans="1:7" ht="20.100000000000001" customHeight="1" x14ac:dyDescent="0.25">
      <c r="A137" s="422">
        <f t="shared" si="6"/>
        <v>131</v>
      </c>
      <c r="B137" s="423" t="str">
        <f t="shared" si="10"/>
        <v>Zadovoljena</v>
      </c>
      <c r="C137" s="424" t="s">
        <v>2885</v>
      </c>
      <c r="D137" s="58">
        <v>151</v>
      </c>
      <c r="E137" s="115">
        <f t="shared" si="12"/>
        <v>0</v>
      </c>
      <c r="F137" s="116">
        <f>IF(PRRAS!D841&gt;PRRAS!D567,1,0)</f>
        <v>0</v>
      </c>
      <c r="G137" s="116">
        <f>IF(PRRAS!E841&gt;PRRAS!E567,1,0)</f>
        <v>0</v>
      </c>
    </row>
    <row r="138" spans="1:7" ht="20.100000000000001" customHeight="1" x14ac:dyDescent="0.25">
      <c r="A138" s="422">
        <f t="shared" si="6"/>
        <v>132</v>
      </c>
      <c r="B138" s="423" t="str">
        <f t="shared" si="10"/>
        <v>Zadovoljena</v>
      </c>
      <c r="C138" s="424" t="s">
        <v>4162</v>
      </c>
      <c r="D138" s="58">
        <v>151</v>
      </c>
      <c r="E138" s="115">
        <f t="shared" si="12"/>
        <v>0</v>
      </c>
      <c r="F138" s="116">
        <f>IF(PRRAS!D842&gt;PRRAS!D568,1,0)</f>
        <v>0</v>
      </c>
      <c r="G138" s="116">
        <f>IF(PRRAS!E842&gt;PRRAS!E568,1,0)</f>
        <v>0</v>
      </c>
    </row>
    <row r="139" spans="1:7" ht="20.100000000000001" customHeight="1" x14ac:dyDescent="0.25">
      <c r="A139" s="422">
        <f t="shared" si="6"/>
        <v>133</v>
      </c>
      <c r="B139" s="423" t="str">
        <f t="shared" si="10"/>
        <v>Zadovoljena</v>
      </c>
      <c r="C139" s="424" t="s">
        <v>1560</v>
      </c>
      <c r="D139" s="58">
        <v>151</v>
      </c>
      <c r="E139" s="115">
        <f t="shared" si="12"/>
        <v>0</v>
      </c>
      <c r="F139" s="116">
        <f>IF(PRRAS!D843&gt;PRRAS!D569,1,0)</f>
        <v>0</v>
      </c>
      <c r="G139" s="116">
        <f>IF(PRRAS!E843&gt;PRRAS!E569,1,0)</f>
        <v>0</v>
      </c>
    </row>
    <row r="140" spans="1:7" ht="20.100000000000001" customHeight="1" x14ac:dyDescent="0.25">
      <c r="A140" s="422">
        <f t="shared" si="6"/>
        <v>134</v>
      </c>
      <c r="B140" s="423" t="str">
        <f t="shared" si="10"/>
        <v>Zadovoljena</v>
      </c>
      <c r="C140" s="424" t="s">
        <v>1561</v>
      </c>
      <c r="D140" s="58">
        <v>151</v>
      </c>
      <c r="E140" s="115">
        <f t="shared" si="12"/>
        <v>0</v>
      </c>
      <c r="F140" s="116">
        <f>IF(PRRAS!D844&gt;PRRAS!D570,1,0)</f>
        <v>0</v>
      </c>
      <c r="G140" s="116">
        <f>IF(PRRAS!E844&gt;PRRAS!E570,1,0)</f>
        <v>0</v>
      </c>
    </row>
    <row r="141" spans="1:7" ht="24.9" customHeight="1" x14ac:dyDescent="0.25">
      <c r="A141" s="422">
        <f t="shared" si="6"/>
        <v>135</v>
      </c>
      <c r="B141" s="423" t="str">
        <f t="shared" si="10"/>
        <v>Zadovoljena</v>
      </c>
      <c r="C141" s="424" t="s">
        <v>1161</v>
      </c>
      <c r="D141" s="58">
        <v>151</v>
      </c>
      <c r="E141" s="115">
        <f t="shared" si="12"/>
        <v>0</v>
      </c>
      <c r="F141" s="116">
        <f>IF(ABS(PRRAS!D572-PRRAS!D845-PRRAS!D846)&gt;1,1,0)</f>
        <v>0</v>
      </c>
      <c r="G141" s="116">
        <f>IF(ABS(PRRAS!E572-PRRAS!E845-PRRAS!E846)&gt;1,1,0)</f>
        <v>0</v>
      </c>
    </row>
    <row r="142" spans="1:7" ht="20.100000000000001" customHeight="1" x14ac:dyDescent="0.25">
      <c r="A142" s="422">
        <f t="shared" si="6"/>
        <v>136</v>
      </c>
      <c r="B142" s="423" t="str">
        <f t="shared" si="10"/>
        <v>Zadovoljena</v>
      </c>
      <c r="C142" s="424" t="s">
        <v>1562</v>
      </c>
      <c r="D142" s="58">
        <v>151</v>
      </c>
      <c r="E142" s="115">
        <f t="shared" si="12"/>
        <v>0</v>
      </c>
      <c r="F142" s="116">
        <f>IF(PRRAS!D847&gt;PRRAS!D573,1,0)</f>
        <v>0</v>
      </c>
      <c r="G142" s="116">
        <f>IF(PRRAS!E847&gt;PRRAS!E573,1,0)</f>
        <v>0</v>
      </c>
    </row>
    <row r="143" spans="1:7" ht="20.100000000000001" customHeight="1" x14ac:dyDescent="0.25">
      <c r="A143" s="422">
        <f t="shared" si="6"/>
        <v>137</v>
      </c>
      <c r="B143" s="423" t="str">
        <f t="shared" ref="B143:B164" si="13">IF(E143=1,"Nije zadovoljena", "Zadovoljena")</f>
        <v>Zadovoljena</v>
      </c>
      <c r="C143" s="424" t="s">
        <v>1563</v>
      </c>
      <c r="D143" s="58">
        <v>151</v>
      </c>
      <c r="E143" s="115">
        <f t="shared" si="12"/>
        <v>0</v>
      </c>
      <c r="F143" s="116">
        <f>IF(PRRAS!D848&gt;PRRAS!D574,1,0)</f>
        <v>0</v>
      </c>
      <c r="G143" s="116">
        <f>IF(PRRAS!E848&gt;PRRAS!E574,1,0)</f>
        <v>0</v>
      </c>
    </row>
    <row r="144" spans="1:7" ht="20.100000000000001" customHeight="1" x14ac:dyDescent="0.25">
      <c r="A144" s="422">
        <f t="shared" si="6"/>
        <v>138</v>
      </c>
      <c r="B144" s="423" t="str">
        <f t="shared" si="13"/>
        <v>Zadovoljena</v>
      </c>
      <c r="C144" s="424" t="s">
        <v>1564</v>
      </c>
      <c r="D144" s="58">
        <v>151</v>
      </c>
      <c r="E144" s="115">
        <f t="shared" si="12"/>
        <v>0</v>
      </c>
      <c r="F144" s="116">
        <f>IF(PRRAS!D849&gt;PRRAS!D576,1,0)</f>
        <v>0</v>
      </c>
      <c r="G144" s="116">
        <f>IF(PRRAS!E849&gt;PRRAS!E576,1,0)</f>
        <v>0</v>
      </c>
    </row>
    <row r="145" spans="1:9" ht="24.9" customHeight="1" x14ac:dyDescent="0.25">
      <c r="A145" s="422">
        <f t="shared" si="6"/>
        <v>139</v>
      </c>
      <c r="B145" s="423" t="str">
        <f t="shared" si="13"/>
        <v>Zadovoljena</v>
      </c>
      <c r="C145" s="424" t="s">
        <v>3029</v>
      </c>
      <c r="D145" s="58">
        <v>151</v>
      </c>
      <c r="E145" s="115">
        <f t="shared" si="12"/>
        <v>0</v>
      </c>
      <c r="F145" s="116">
        <f>IF(ABS(PRRAS!D578-PRRAS!D850-PRRAS!D851)&gt;1,1,0)</f>
        <v>0</v>
      </c>
      <c r="G145" s="116">
        <f>IF(ABS(PRRAS!E578-PRRAS!E850-PRRAS!E851)&gt;1,1,0)</f>
        <v>0</v>
      </c>
    </row>
    <row r="146" spans="1:9" ht="20.100000000000001" customHeight="1" x14ac:dyDescent="0.25">
      <c r="A146" s="422">
        <f t="shared" si="6"/>
        <v>140</v>
      </c>
      <c r="B146" s="423" t="str">
        <f t="shared" si="13"/>
        <v>Zadovoljena</v>
      </c>
      <c r="C146" s="424" t="s">
        <v>3023</v>
      </c>
      <c r="D146" s="58">
        <v>151</v>
      </c>
      <c r="E146" s="115">
        <f t="shared" si="12"/>
        <v>0</v>
      </c>
      <c r="F146" s="116">
        <f>IF(PRRAS!D852&gt;PRRAS!D579,1,0)</f>
        <v>0</v>
      </c>
      <c r="G146" s="116">
        <f>IF(PRRAS!E852&gt;PRRAS!E579,1,0)</f>
        <v>0</v>
      </c>
    </row>
    <row r="147" spans="1:9" ht="20.100000000000001" customHeight="1" x14ac:dyDescent="0.25">
      <c r="A147" s="422">
        <f t="shared" si="6"/>
        <v>141</v>
      </c>
      <c r="B147" s="423" t="str">
        <f t="shared" si="13"/>
        <v>Zadovoljena</v>
      </c>
      <c r="C147" s="424" t="s">
        <v>3030</v>
      </c>
      <c r="D147" s="58">
        <v>151</v>
      </c>
      <c r="E147" s="115">
        <f t="shared" si="12"/>
        <v>0</v>
      </c>
      <c r="F147" s="116">
        <f>IF(PRRAS!D853&gt;PRRAS!D580,1,0)</f>
        <v>0</v>
      </c>
      <c r="G147" s="116">
        <f>IF(PRRAS!E853&gt;PRRAS!E580,1,0)</f>
        <v>0</v>
      </c>
    </row>
    <row r="148" spans="1:9" ht="24.9" customHeight="1" x14ac:dyDescent="0.25">
      <c r="A148" s="422">
        <f t="shared" si="6"/>
        <v>142</v>
      </c>
      <c r="B148" s="423" t="str">
        <f t="shared" si="13"/>
        <v>Zadovoljena</v>
      </c>
      <c r="C148" s="424" t="s">
        <v>1162</v>
      </c>
      <c r="D148" s="58">
        <v>151</v>
      </c>
      <c r="E148" s="115">
        <f t="shared" si="12"/>
        <v>0</v>
      </c>
      <c r="F148" s="116">
        <f>IF(ABS(PRRAS!D581-PRRAS!D854-PRRAS!D855)&gt;1,1,0)</f>
        <v>0</v>
      </c>
      <c r="G148" s="116">
        <f>IF(ABS(PRRAS!E581-PRRAS!E854-PRRAS!E855)&gt;1,1,0)</f>
        <v>0</v>
      </c>
    </row>
    <row r="149" spans="1:9" ht="20.100000000000001" customHeight="1" x14ac:dyDescent="0.25">
      <c r="A149" s="422">
        <f t="shared" si="6"/>
        <v>143</v>
      </c>
      <c r="B149" s="423" t="str">
        <f t="shared" si="13"/>
        <v>Zadovoljena</v>
      </c>
      <c r="C149" s="424" t="s">
        <v>3024</v>
      </c>
      <c r="D149" s="58">
        <v>151</v>
      </c>
      <c r="E149" s="115">
        <f t="shared" si="12"/>
        <v>0</v>
      </c>
      <c r="F149" s="116">
        <f>IF(PRRAS!D856&gt;PRRAS!D582,1,0)</f>
        <v>0</v>
      </c>
      <c r="G149" s="116">
        <f>IF(PRRAS!E856&gt;PRRAS!E582,1,0)</f>
        <v>0</v>
      </c>
    </row>
    <row r="150" spans="1:9" ht="20.100000000000001" customHeight="1" x14ac:dyDescent="0.25">
      <c r="A150" s="422">
        <f t="shared" si="6"/>
        <v>144</v>
      </c>
      <c r="B150" s="423" t="str">
        <f t="shared" si="13"/>
        <v>Zadovoljena</v>
      </c>
      <c r="C150" s="424" t="s">
        <v>3025</v>
      </c>
      <c r="D150" s="58">
        <v>151</v>
      </c>
      <c r="E150" s="115">
        <f t="shared" si="12"/>
        <v>0</v>
      </c>
      <c r="F150" s="116">
        <f>IF(PRRAS!D857&gt;PRRAS!D583,1,0)</f>
        <v>0</v>
      </c>
      <c r="G150" s="116">
        <f>IF(PRRAS!E857&gt;PRRAS!E583,1,0)</f>
        <v>0</v>
      </c>
    </row>
    <row r="151" spans="1:9" ht="20.100000000000001" customHeight="1" x14ac:dyDescent="0.25">
      <c r="A151" s="422">
        <f t="shared" si="6"/>
        <v>145</v>
      </c>
      <c r="B151" s="423" t="str">
        <f t="shared" si="13"/>
        <v>Zadovoljena</v>
      </c>
      <c r="C151" s="424" t="s">
        <v>3026</v>
      </c>
      <c r="D151" s="58">
        <v>151</v>
      </c>
      <c r="E151" s="115">
        <f t="shared" si="12"/>
        <v>0</v>
      </c>
      <c r="F151" s="116">
        <f>IF(PRRAS!D858&gt;PRRAS!D585,1,0)</f>
        <v>0</v>
      </c>
      <c r="G151" s="116">
        <f>IF(PRRAS!E858&gt;PRRAS!E585,1,0)</f>
        <v>0</v>
      </c>
    </row>
    <row r="152" spans="1:9" ht="20.100000000000001" customHeight="1" x14ac:dyDescent="0.25">
      <c r="A152" s="422">
        <f t="shared" si="6"/>
        <v>146</v>
      </c>
      <c r="B152" s="423" t="str">
        <f t="shared" si="13"/>
        <v>Zadovoljena</v>
      </c>
      <c r="C152" s="424" t="s">
        <v>3027</v>
      </c>
      <c r="D152" s="58">
        <v>151</v>
      </c>
      <c r="E152" s="115">
        <f t="shared" ref="E152:E165" si="14">MAX(F152:I152)</f>
        <v>0</v>
      </c>
      <c r="F152" s="116">
        <f>IF(PRRAS!D859&gt;PRRAS!D586,1,0)</f>
        <v>0</v>
      </c>
      <c r="G152" s="116">
        <f>IF(PRRAS!E859&gt;PRRAS!E586,1,0)</f>
        <v>0</v>
      </c>
    </row>
    <row r="153" spans="1:9" ht="20.100000000000001" customHeight="1" x14ac:dyDescent="0.25">
      <c r="A153" s="422">
        <f t="shared" si="6"/>
        <v>147</v>
      </c>
      <c r="B153" s="423" t="str">
        <f t="shared" si="13"/>
        <v>Zadovoljena</v>
      </c>
      <c r="C153" s="426" t="s">
        <v>3028</v>
      </c>
      <c r="D153" s="58">
        <v>151</v>
      </c>
      <c r="E153" s="115">
        <f t="shared" si="14"/>
        <v>0</v>
      </c>
      <c r="F153" s="116">
        <f>IF(PRRAS!D860&gt;PRRAS!D587,1,0)</f>
        <v>0</v>
      </c>
      <c r="G153" s="116">
        <f>IF(PRRAS!E860&gt;PRRAS!E587,1,0)</f>
        <v>0</v>
      </c>
    </row>
    <row r="154" spans="1:9" ht="24.9" customHeight="1" x14ac:dyDescent="0.25">
      <c r="A154" s="422">
        <f t="shared" si="6"/>
        <v>148</v>
      </c>
      <c r="B154" s="423" t="str">
        <f t="shared" si="13"/>
        <v>Zadovoljena</v>
      </c>
      <c r="C154" s="424" t="s">
        <v>1163</v>
      </c>
      <c r="D154" s="58">
        <v>151</v>
      </c>
      <c r="E154" s="115">
        <f t="shared" si="14"/>
        <v>0</v>
      </c>
      <c r="F154" s="116">
        <f>IF(ABS(PRRAS!D590-PRRAS!D861-PRRAS!D862)&gt;1,1,0)</f>
        <v>0</v>
      </c>
      <c r="G154" s="116">
        <f>IF(ABS(PRRAS!E590-PRRAS!E861-PRRAS!E862)&gt;1,1,0)</f>
        <v>0</v>
      </c>
      <c r="H154" s="116"/>
      <c r="I154" s="116"/>
    </row>
    <row r="155" spans="1:9" ht="24.9" customHeight="1" x14ac:dyDescent="0.25">
      <c r="A155" s="422">
        <f t="shared" si="6"/>
        <v>149</v>
      </c>
      <c r="B155" s="423" t="str">
        <f t="shared" si="13"/>
        <v>Zadovoljena</v>
      </c>
      <c r="C155" s="424" t="s">
        <v>1164</v>
      </c>
      <c r="D155" s="58">
        <v>151</v>
      </c>
      <c r="E155" s="115">
        <f t="shared" si="14"/>
        <v>0</v>
      </c>
      <c r="F155" s="116">
        <f>IF(ABS(PRRAS!D591-PRRAS!D863-PRRAS!D864)&gt;1,1,0)</f>
        <v>0</v>
      </c>
      <c r="G155" s="116">
        <f>IF(ABS(PRRAS!E591-PRRAS!E863-PRRAS!E864)&gt;1,1,0)</f>
        <v>0</v>
      </c>
      <c r="H155" s="116"/>
      <c r="I155" s="116"/>
    </row>
    <row r="156" spans="1:9" ht="24.9" customHeight="1" x14ac:dyDescent="0.25">
      <c r="A156" s="422">
        <f t="shared" ref="A156:A173" si="15">1+A155</f>
        <v>150</v>
      </c>
      <c r="B156" s="423" t="str">
        <f t="shared" si="13"/>
        <v>Zadovoljena</v>
      </c>
      <c r="C156" s="424" t="s">
        <v>1165</v>
      </c>
      <c r="D156" s="58">
        <v>151</v>
      </c>
      <c r="E156" s="115">
        <f t="shared" si="14"/>
        <v>0</v>
      </c>
      <c r="F156" s="116">
        <f>IF(ABS(PRRAS!D592-PRRAS!D865-PRRAS!D866)&gt;1,1,0)</f>
        <v>0</v>
      </c>
      <c r="G156" s="116">
        <f>IF(ABS(PRRAS!E592-PRRAS!E865-PRRAS!E866)&gt;1,1,0)</f>
        <v>0</v>
      </c>
    </row>
    <row r="157" spans="1:9" ht="24.9" customHeight="1" x14ac:dyDescent="0.25">
      <c r="A157" s="422">
        <f t="shared" si="15"/>
        <v>151</v>
      </c>
      <c r="B157" s="423" t="str">
        <f t="shared" si="13"/>
        <v>Zadovoljena</v>
      </c>
      <c r="C157" s="424" t="s">
        <v>1166</v>
      </c>
      <c r="D157" s="58">
        <v>151</v>
      </c>
      <c r="E157" s="115">
        <f t="shared" si="14"/>
        <v>0</v>
      </c>
      <c r="F157" s="116">
        <f>IF(ABS(PRRAS!D593-PRRAS!D867-PRRAS!D868)&gt;1,1,0)</f>
        <v>0</v>
      </c>
      <c r="G157" s="116">
        <f>IF(ABS(PRRAS!E593-PRRAS!E867-PRRAS!E868)&gt;1,1,0)</f>
        <v>0</v>
      </c>
      <c r="H157" s="116"/>
      <c r="I157" s="116"/>
    </row>
    <row r="158" spans="1:9" ht="24.9" customHeight="1" x14ac:dyDescent="0.25">
      <c r="A158" s="422">
        <f t="shared" si="15"/>
        <v>152</v>
      </c>
      <c r="B158" s="423" t="str">
        <f t="shared" si="13"/>
        <v>Zadovoljena</v>
      </c>
      <c r="C158" s="424" t="s">
        <v>1167</v>
      </c>
      <c r="D158" s="58">
        <v>151</v>
      </c>
      <c r="E158" s="115">
        <f t="shared" si="14"/>
        <v>0</v>
      </c>
      <c r="F158" s="116">
        <f>IF(ABS(PRRAS!D594-PRRAS!D869-PRRAS!D870)&gt;1,1,0)</f>
        <v>0</v>
      </c>
      <c r="G158" s="116">
        <f>IF(ABS(PRRAS!E594-PRRAS!E869-PRRAS!E870)&gt;1,1,0)</f>
        <v>0</v>
      </c>
      <c r="H158" s="116"/>
      <c r="I158" s="116"/>
    </row>
    <row r="159" spans="1:9" ht="24.9" customHeight="1" x14ac:dyDescent="0.25">
      <c r="A159" s="422">
        <f t="shared" si="15"/>
        <v>153</v>
      </c>
      <c r="B159" s="423" t="str">
        <f t="shared" si="13"/>
        <v>Zadovoljena</v>
      </c>
      <c r="C159" s="424" t="s">
        <v>1168</v>
      </c>
      <c r="D159" s="58">
        <v>151</v>
      </c>
      <c r="E159" s="115">
        <f t="shared" si="14"/>
        <v>0</v>
      </c>
      <c r="F159" s="116">
        <f>IF(ABS(PRRAS!D595-PRRAS!D871-PRRAS!D872)&gt;1,1,0)</f>
        <v>0</v>
      </c>
      <c r="G159" s="116">
        <f>IF(ABS(PRRAS!E595-PRRAS!E871-PRRAS!E872)&gt;1,1,0)</f>
        <v>0</v>
      </c>
    </row>
    <row r="160" spans="1:9" ht="24.9" customHeight="1" x14ac:dyDescent="0.25">
      <c r="A160" s="422">
        <f t="shared" si="15"/>
        <v>154</v>
      </c>
      <c r="B160" s="423" t="str">
        <f t="shared" si="13"/>
        <v>Zadovoljena</v>
      </c>
      <c r="C160" s="424" t="s">
        <v>1169</v>
      </c>
      <c r="D160" s="58">
        <v>151</v>
      </c>
      <c r="E160" s="115">
        <f t="shared" si="14"/>
        <v>0</v>
      </c>
      <c r="F160" s="116">
        <f>IF(ABS(PRRAS!D596-PRRAS!D873-PRRAS!D874)&gt;1,1,0)</f>
        <v>0</v>
      </c>
      <c r="G160" s="116">
        <f>IF(ABS(PRRAS!E596-PRRAS!E873-PRRAS!E874)&gt;1,1,0)</f>
        <v>0</v>
      </c>
      <c r="H160" s="116"/>
      <c r="I160" s="116"/>
    </row>
    <row r="161" spans="1:14" ht="20.100000000000001" customHeight="1" x14ac:dyDescent="0.25">
      <c r="A161" s="422">
        <f t="shared" si="15"/>
        <v>155</v>
      </c>
      <c r="B161" s="423" t="str">
        <f t="shared" si="13"/>
        <v>Zadovoljena</v>
      </c>
      <c r="C161" s="424" t="s">
        <v>3032</v>
      </c>
      <c r="D161" s="58">
        <v>151</v>
      </c>
      <c r="E161" s="115">
        <f t="shared" si="14"/>
        <v>0</v>
      </c>
      <c r="F161" s="116">
        <f>IF(PRRAS!D875&gt;PRRAS!D605,1,0)</f>
        <v>0</v>
      </c>
      <c r="G161" s="116">
        <f>IF(PRRAS!E875&gt;PRRAS!E605,1,0)</f>
        <v>0</v>
      </c>
      <c r="H161" s="116"/>
      <c r="I161" s="116"/>
    </row>
    <row r="162" spans="1:14" ht="30" customHeight="1" x14ac:dyDescent="0.25">
      <c r="A162" s="422">
        <f t="shared" si="15"/>
        <v>156</v>
      </c>
      <c r="B162" s="423" t="str">
        <f t="shared" si="13"/>
        <v>Zadovoljena</v>
      </c>
      <c r="C162" s="424" t="s">
        <v>3033</v>
      </c>
      <c r="D162" s="58">
        <v>151</v>
      </c>
      <c r="E162" s="115">
        <f t="shared" si="14"/>
        <v>0</v>
      </c>
      <c r="F162" s="54">
        <f>IF(AND(PRRAS!D662&gt;0,PRRAS!D664+PRRAS!D666 =0),1,0)</f>
        <v>0</v>
      </c>
      <c r="G162" s="54">
        <f>IF(AND(PRRAS!E662&gt;0,PRRAS!E664+PRRAS!E666 =0),1,0)</f>
        <v>0</v>
      </c>
      <c r="H162" s="54">
        <f>IF(PRRAS!D662&lt;PRRAS!D664+PRRAS!D666,1,0)</f>
        <v>0</v>
      </c>
      <c r="I162" s="54">
        <f>IF(PRRAS!E662&lt;PRRAS!E664+PRRAS!E666,1,0)</f>
        <v>0</v>
      </c>
    </row>
    <row r="163" spans="1:14" ht="30" customHeight="1" x14ac:dyDescent="0.25">
      <c r="A163" s="422">
        <f t="shared" si="15"/>
        <v>157</v>
      </c>
      <c r="B163" s="423" t="str">
        <f t="shared" si="13"/>
        <v>Zadovoljena</v>
      </c>
      <c r="C163" s="424" t="s">
        <v>3034</v>
      </c>
      <c r="D163" s="58">
        <v>151</v>
      </c>
      <c r="E163" s="115">
        <f t="shared" si="14"/>
        <v>0</v>
      </c>
      <c r="F163" s="54">
        <f>IF(AND(PRRAS!D663&gt;0,PRRAS!D665+PRRAS!D667 =0),1,0)</f>
        <v>0</v>
      </c>
      <c r="G163" s="54">
        <f>IF(AND(PRRAS!E663&gt;0,PRRAS!E665+PRRAS!E667 =0),1,0)</f>
        <v>0</v>
      </c>
      <c r="H163" s="54">
        <f>IF(PRRAS!D663&lt;PRRAS!D665+PRRAS!D667,1,0)</f>
        <v>0</v>
      </c>
      <c r="I163" s="54">
        <f>IF(PRRAS!E663&lt;PRRAS!E665+PRRAS!E667,1,0)</f>
        <v>0</v>
      </c>
    </row>
    <row r="164" spans="1:14" ht="30" customHeight="1" x14ac:dyDescent="0.25">
      <c r="A164" s="422">
        <f t="shared" si="15"/>
        <v>158</v>
      </c>
      <c r="B164" s="423" t="str">
        <f t="shared" si="13"/>
        <v>Zadovoljena</v>
      </c>
      <c r="C164" s="424" t="s">
        <v>3035</v>
      </c>
      <c r="D164" s="58">
        <v>151</v>
      </c>
      <c r="E164" s="115">
        <f t="shared" si="14"/>
        <v>0</v>
      </c>
      <c r="F164" s="116">
        <f>IF(MIN(PRRAS!D12:E13,PRRAS!D15:E22,PRRAS!D24:E261,PRRAS!D263:E395,PRRAS!D397:E619,PRRAS!D621:E877,PRRAS!D881:D916)&lt;0,1,0)</f>
        <v>0</v>
      </c>
      <c r="G164" s="116"/>
      <c r="H164" s="116"/>
      <c r="I164" s="116"/>
    </row>
    <row r="165" spans="1:14" ht="30" customHeight="1" x14ac:dyDescent="0.25">
      <c r="A165" s="422">
        <f t="shared" si="15"/>
        <v>159</v>
      </c>
      <c r="B165" s="423" t="str">
        <f t="shared" ref="B165:B173" si="16">IF(E165=1,"Nije zadovoljena", "Zadovoljena")</f>
        <v>Zadovoljena</v>
      </c>
      <c r="C165" s="424" t="s">
        <v>1952</v>
      </c>
      <c r="D165" s="58">
        <v>151</v>
      </c>
      <c r="E165" s="115">
        <f t="shared" si="14"/>
        <v>0</v>
      </c>
      <c r="F165" s="54">
        <f>IF(G165 = 0,0,1)</f>
        <v>0</v>
      </c>
      <c r="G165" s="408">
        <f>SUM(Skriveni!H2:H900)</f>
        <v>0</v>
      </c>
    </row>
    <row r="166" spans="1:14" ht="57" customHeight="1" x14ac:dyDescent="0.25">
      <c r="A166" s="422">
        <f t="shared" si="15"/>
        <v>160</v>
      </c>
      <c r="B166" s="423" t="str">
        <f t="shared" si="16"/>
        <v>Zadovoljena</v>
      </c>
      <c r="C166" s="427" t="s">
        <v>3814</v>
      </c>
      <c r="D166" s="428">
        <v>151</v>
      </c>
      <c r="E166" s="429">
        <f t="shared" ref="E166:E173" si="17">F166*G166</f>
        <v>0</v>
      </c>
      <c r="F166" s="430">
        <f>IF(RefStr!B16=11,1,0)</f>
        <v>0</v>
      </c>
      <c r="G166" s="430">
        <f t="shared" ref="G166:G173" si="18">IF(OR(MIN(H166:K166)&lt;&gt;0,MAX(H166:K166)&lt;&gt;0),1,0)</f>
        <v>1</v>
      </c>
      <c r="H166" s="431">
        <f>MAX(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1171503</v>
      </c>
      <c r="I166" s="432">
        <f>MAX(PRRAS!D545:E545,PRRAS!D550:E550,PRRAS!D551:E551,PRRAS!D561:E561,PRRAS!D564:E564,PRRAS!D566:E570,PRRAS!D582:E583,PRRAS!D587:E588,PRRAS!D598:E600,PRRAS!D603:E603,PRRAS!D606:E606,PRRAS!D660:E660,PRRAS!D680:E680,PRRAS!D682:E682,PRRAS!D684:E684,PRRAS!D686:E686)</f>
        <v>0</v>
      </c>
      <c r="J166" s="432">
        <f>MIN(PRRAS!D14:E45,PRRAS!D51:E57,PRRAS!D132:E132,PRRAS!D196:E196,PRRAS!D230:E231,PRRAS!D401:E403,PRRAS!D417:E419,PRRAS!D423:E424,PRRAS!D435:E436,PRRAS!D439:E442,PRRAS!D445:E445,PRRAS!D455:E455,PRRAS!D458:E458,PRRAS!D460:E464,PRRAS!D476:E477,PRRAS!D481:E482,PRRAS!D493:E493,PRRAS!D496:E496,PRRAS!D502:E502,PRRAS!D505:E509,PRRAS!D523:E525,PRRAS!D529:E530,PRRAS!D542:E542)</f>
        <v>0</v>
      </c>
      <c r="K166" s="432">
        <f>MIN(PRRAS!D545:E545,PRRAS!D550:E550,PRRAS!D551:E551,PRRAS!D561:E561,PRRAS!D564:E564,PRRAS!D566:E570,PRRAS!D582:E583,PRRAS!D587:E588,PRRAS!D598:E600,PRRAS!D603:E603,PRRAS!D606:E606,PRRAS!D660:E660,PRRAS!D680:E680,PRRAS!D682:E682,PRRAS!D684:E684,PRRAS!D686:E686)</f>
        <v>0</v>
      </c>
      <c r="L166" s="432"/>
      <c r="M166" s="433"/>
    </row>
    <row r="167" spans="1:14" ht="51.75" customHeight="1" x14ac:dyDescent="0.25">
      <c r="A167" s="422">
        <f t="shared" si="15"/>
        <v>161</v>
      </c>
      <c r="B167" s="423" t="str">
        <f t="shared" si="16"/>
        <v>Zadovoljena</v>
      </c>
      <c r="C167" s="427" t="s">
        <v>3815</v>
      </c>
      <c r="D167" s="428">
        <v>151</v>
      </c>
      <c r="E167" s="429">
        <f t="shared" si="17"/>
        <v>0</v>
      </c>
      <c r="F167" s="430">
        <f>IF(RefStr!B16=12,1,0)</f>
        <v>0</v>
      </c>
      <c r="G167" s="430">
        <f t="shared" si="18"/>
        <v>1</v>
      </c>
      <c r="H167" s="431">
        <f>MIN(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0</v>
      </c>
      <c r="I167" s="432">
        <f>MAX(PRRAS!D14:E45,PRRAS!D132:E132,PRRAS!D401:E403,PRRAS!D417:E419,PRRAS!D423:E424,PRRAS!D434:E436,PRRAS!D439:E442,PRRAS!D445:E445,PRRAS!D462:E464,PRRAS!D493:E493,PRRAS!D496:E496,PRRAS!D502:E502,PRRAS!D505:E509,PRRAS!D523:E525,PRRAS!D529:E530,PRRAS!D542:E542,PRRAS!D545:E545,PRRAS!D549:E551,PRRAS!D561:E561,PRRAS!D564:E564,PRRAS!D568:E570,PRRAS!D598:E600,PRRAS!D603:E603,PRRAS!D606:E606,PRRAS!D680:E680,PRRAS!D682:E682,PRRAS!D684:E684,PRRAS!D686:E686)</f>
        <v>1171503</v>
      </c>
      <c r="J167" s="432"/>
      <c r="K167" s="432"/>
      <c r="L167" s="432"/>
      <c r="M167" s="433"/>
    </row>
    <row r="168" spans="1:14" ht="30" customHeight="1" x14ac:dyDescent="0.25">
      <c r="A168" s="422">
        <f t="shared" si="15"/>
        <v>162</v>
      </c>
      <c r="B168" s="423" t="str">
        <f t="shared" si="16"/>
        <v>Zadovoljena</v>
      </c>
      <c r="C168" s="427" t="s">
        <v>3816</v>
      </c>
      <c r="D168" s="428">
        <v>151</v>
      </c>
      <c r="E168" s="429">
        <f t="shared" si="17"/>
        <v>0</v>
      </c>
      <c r="F168" s="430">
        <f>IF(RefStr!B16=13,1,0)</f>
        <v>0</v>
      </c>
      <c r="G168" s="430">
        <f t="shared" si="18"/>
        <v>0</v>
      </c>
      <c r="H168" s="431">
        <f>MIN(PRRAS!D126:E129)</f>
        <v>0</v>
      </c>
      <c r="I168" s="432">
        <f>MIN(PRRAS!D126:E129)</f>
        <v>0</v>
      </c>
      <c r="J168" s="432"/>
      <c r="K168" s="432"/>
      <c r="L168" s="432"/>
      <c r="M168" s="433"/>
    </row>
    <row r="169" spans="1:14" ht="63.75" customHeight="1" x14ac:dyDescent="0.25">
      <c r="A169" s="422">
        <f t="shared" si="15"/>
        <v>163</v>
      </c>
      <c r="B169" s="423" t="str">
        <f t="shared" si="16"/>
        <v>Zadovoljena</v>
      </c>
      <c r="C169" s="427" t="s">
        <v>4161</v>
      </c>
      <c r="D169" s="428">
        <v>151</v>
      </c>
      <c r="E169" s="429">
        <f t="shared" si="17"/>
        <v>0</v>
      </c>
      <c r="F169" s="430">
        <f>IF(RefStr!B16=21,1,0)</f>
        <v>0</v>
      </c>
      <c r="G169" s="430">
        <f t="shared" si="18"/>
        <v>1</v>
      </c>
      <c r="H169" s="432">
        <f>MIN(PRRAS!D14:E45,PRRAS!D51:E57,PRRAS!D132:E132,PRRAS!D168:E168,PRRAS!D196:E196,PRRAS!D217:E222,PRRAS!D229:E231,PRRAS!D313:E314,PRRAS!D371:E372,PRRAS!D399:E403,PRRAS!D406:E406,PRRAS!D417:E419,PRRAS!D423:E424,PRRAS!D434:E436,PRRAS!D439:E442,PRRAS!D445:E445,PRRAS!D455:E455,PRRAS!D458:E458,PRRAS!D460:E464,PRRAS!D475:E477,PRRAS!D481:E482)</f>
        <v>0</v>
      </c>
      <c r="I169" s="431">
        <f>MIN(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J169" s="432">
        <f>MAX(PRRAS!D14:E45,PRRAS!D51:E57,PRRAS!D132:E132,PRRAS!D168:E168,PRRAS!D196:E196,PRRAS!D217:E222,PRRAS!D229:E231,PRRAS!D313:E314,PRRAS!D371:E372,PRRAS!D399:E403,PRRAS!D406:E406,PRRAS!D417:E419,PRRAS!D423:E424,PRRAS!D434:E436,PRRAS!D439:E442,PRRAS!D445:E445,PRRAS!D455:E455,PRRAS!D458:E458,PRRAS!D460:E464,PRRAS!D475:E477,PRRAS!D481:E482)</f>
        <v>1171503</v>
      </c>
      <c r="K169" s="432">
        <f>MAX(PRRAS!D493:E493,PRRAS!D496:E499,PRRAS!D502:E502,PRRAS!D505:E509,PRRAS!D512:E512,PRRAS!D523:E525,PRRAS!D529:E530,PRRAS!D542:E542,PRRAS!D545:E545,PRRAS!D546:E551,PRRAS!D561:E561,PRRAS!D564:E564,PRRAS!D566:E570,PRRAS!D581:E583,PRRAS!D587:E588,PRRAS!D598:E600,PRRAS!D603:E603,PRRAS!D606:E606,PRRAS!D660:E660,PRRAS!D680:E680,PRRAS!D682:E682,PRRAS!D684:E684,PRRAS!D686:E686)</f>
        <v>0</v>
      </c>
      <c r="L169" s="432"/>
      <c r="M169" s="433"/>
    </row>
    <row r="170" spans="1:14" ht="63.75" customHeight="1" x14ac:dyDescent="0.25">
      <c r="A170" s="422">
        <f t="shared" si="15"/>
        <v>164</v>
      </c>
      <c r="B170" s="423" t="str">
        <f t="shared" si="16"/>
        <v>Zadovoljena</v>
      </c>
      <c r="C170" s="427" t="s">
        <v>4100</v>
      </c>
      <c r="D170" s="428">
        <v>151</v>
      </c>
      <c r="E170" s="429">
        <f t="shared" si="17"/>
        <v>0</v>
      </c>
      <c r="F170" s="430">
        <f>IF(OR(RefStr!B16=22,RefStr!B16=23),1,0)</f>
        <v>1</v>
      </c>
      <c r="G170" s="430">
        <f t="shared" si="18"/>
        <v>0</v>
      </c>
      <c r="H170" s="432">
        <f>MIN(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I170" s="431">
        <f>MIN(PRRAS!D512:E512,PRRAS!D523:E525,PRRAS!D529:E530,PRRAS!D542:E542,PRRAS!D545:E551,PRRAS!D561:E561,PRRAS!D564:E564,PRRAS!D566:E570,PRRAS!D581:E583,PRRAS!D587:E588,PRRAS!D598:E600,PRRAS!D603:E603,PRRAS!D606:E606,PRRAS!D660:E660,PRRAS!D680:E680,PRRAS!D682:E682,PRRAS!D684:E684,PRRAS!D686:E686)</f>
        <v>0</v>
      </c>
      <c r="J170" s="432">
        <f>MAX(PRRAS!D23:E28,PRRAS!D32:E32,PRRAS!D36:E36,PRRAS!D38:E38,PRRAS!D43:E45,PRRAS!D51:E57,PRRAS!D129:E129,PRRAS!D132:E132,PRRAS!D168:E168,PRRAS!D196:E196,PRRAS!D229:E231,PRRAS!D313:E314,PRRAS!D371:E372,PRRAS!D399:E403,PRRAS!D406:E406,PRRAS!D417:E419,PRRAS!D423:E424,PRRAS!D434:E436,PRRAS!D439:E442,PRRAS!D445:E445,PRRAS!D455:E455,PRRAS!D458:E458,PRRAS!D460:E464,PRRAS!D475:E477,PRRAS!D481:E482,PRRAS!D493:E493,PRRAS!D496:E499,PRRAS!D502:E502,PRRAS!D505:E509)</f>
        <v>0</v>
      </c>
      <c r="K170" s="432">
        <f>MAX(PRRAS!D512:E512,PRRAS!D523:E525,PRRAS!D529:E530,PRRAS!D542:E542,PRRAS!D545:E551,PRRAS!D561:E561,PRRAS!D564:E564,PRRAS!D566:E570,PRRAS!D581:E583,PRRAS!D587:E588,PRRAS!D598:E600,PRRAS!D603:E603,PRRAS!D606:E606,PRRAS!D660:E660,PRRAS!D680:E680,PRRAS!D682:E682,PRRAS!D684:E684,PRRAS!D686:E686)</f>
        <v>0</v>
      </c>
      <c r="L170" s="432"/>
      <c r="M170" s="433"/>
    </row>
    <row r="171" spans="1:14" ht="63.75" customHeight="1" x14ac:dyDescent="0.25">
      <c r="A171" s="422">
        <f t="shared" si="15"/>
        <v>165</v>
      </c>
      <c r="B171" s="423" t="str">
        <f t="shared" si="16"/>
        <v>Zadovoljena</v>
      </c>
      <c r="C171" s="427" t="s">
        <v>4229</v>
      </c>
      <c r="D171" s="428">
        <v>151</v>
      </c>
      <c r="E171" s="429">
        <f t="shared" si="17"/>
        <v>0</v>
      </c>
      <c r="F171" s="430">
        <f>IF(RefStr!B16=31,1,0)</f>
        <v>0</v>
      </c>
      <c r="G171" s="430">
        <f t="shared" si="18"/>
        <v>1</v>
      </c>
      <c r="H171" s="432">
        <f>MIN(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0</v>
      </c>
      <c r="I171" s="431">
        <f>MIN(PRRAS!D502:E502,PRRAS!D505:E509,PRRAS!D512:E512,PRRAS!D523:E525,PRRAS!D529:E530,PRRAS!D542:E542,PRRAS!D545:E551,PRRAS!D561:E561,PRRAS!D564:E564,PRRAS!D566:E570,PRRAS!D587:E588,PRRAS!D598:E600,PRRAS!D603:E603,PRRAS!D606:E606,PRRAS!D660:E660,PRRAS!D680:E680,PRRAS!D682:E682,PRRAS!D684:E684,PRRAS!D686:E686)</f>
        <v>0</v>
      </c>
      <c r="J171" s="432">
        <f>MAX(PRRAS!D14:E45,PRRAS!D51:E57,PRRAS!D132:E132,PRRAS!D168:E168,PRRAS!D196:E196,PRRAS!D217:E222,PRRAS!D229:E231,PRRAS!D314:E314,PRRAS!D372:E372,PRRAS!D399:E403,PRRAS!D406:E406,PRRAS!D417:E419,PRRAS!D423:E424,PRRAS!D434:E436,PRRAS!D439:E442,PRRAS!D445:E445,PRRAS!D455:E455,PRRAS!D458:E458,PRRAS!D460:E464,PRRAS!D475:E477,PRRAS!D481:E482,PRRAS!D493:E493,PRRAS!D496:E499)</f>
        <v>1171503</v>
      </c>
      <c r="K171" s="432">
        <f>MAX(PRRAS!D502:E502,PRRAS!D505:E509,PRRAS!D512:E512,PRRAS!D523:E525,PRRAS!D529:E530,PRRAS!D542:E542,PRRAS!D545:E551,PRRAS!D561:E561,PRRAS!D564:E564,PRRAS!D566:E570,PRRAS!D587:E588,PRRAS!D598:E600,PRRAS!D603:E603,PRRAS!D606:E606,PRRAS!D660:E660,PRRAS!D680:E680,PRRAS!D682:E682,PRRAS!D684:E684,PRRAS!D686:E686)</f>
        <v>0</v>
      </c>
      <c r="L171" s="432"/>
      <c r="M171" s="433"/>
    </row>
    <row r="172" spans="1:14" ht="58.5" customHeight="1" x14ac:dyDescent="0.25">
      <c r="A172" s="422">
        <f t="shared" si="15"/>
        <v>166</v>
      </c>
      <c r="B172" s="423" t="str">
        <f t="shared" si="16"/>
        <v>Zadovoljena</v>
      </c>
      <c r="C172" s="427" t="s">
        <v>4101</v>
      </c>
      <c r="D172" s="428">
        <v>151</v>
      </c>
      <c r="E172" s="429">
        <f t="shared" si="17"/>
        <v>0</v>
      </c>
      <c r="F172" s="430">
        <f>IF(RefStr!B16=41,1,0)</f>
        <v>0</v>
      </c>
      <c r="G172" s="430">
        <f t="shared" si="18"/>
        <v>1</v>
      </c>
      <c r="H172" s="432">
        <f>MIN(PRRAS!D14:E45,PRRAS!D132:E132,PRRAS!D168:E168,PRRAS!D314:E314,PRRAS!D372:E372,PRRAS!D399:E403,PRRAS!D406:E406,PRRAS!D417:E419,PRRAS!D423:E424,PRRAS!D434:E436,PRRAS!D439:E442,PRRAS!D462:E464,PRRAS!D493:E493,PRRAS!D496:E499,PRRAS!D502:E502,PRRAS!D505:E509,PRRAS!D512:E512)</f>
        <v>0</v>
      </c>
      <c r="I172" s="431">
        <f>MIN(PRRAS!D523:E525,PRRAS!D529:E530,PRRAS!D542:E542,PRRAS!D545:E551,PRRAS!D561:E561,PRRAS!D564:E564,PRRAS!D568:E570,PRRAS!D598:E600,PRRAS!D603:E603,PRRAS!D606:E606,PRRAS!D680:E680,PRRAS!D682:E682,PRRAS!D684:E684,PRRAS!D686:E686)</f>
        <v>0</v>
      </c>
      <c r="J172" s="432">
        <f>MAX(PRRAS!D14:E45,PRRAS!D132:E132,PRRAS!D168:E168,PRRAS!D314:E314,PRRAS!D372:E372,PRRAS!D399:E403,PRRAS!D406:E406,PRRAS!D417:E419,PRRAS!D423:E424,PRRAS!D434:E436,PRRAS!D439:E442,PRRAS!D462:E464,PRRAS!D493:E493,PRRAS!D496:E499,PRRAS!D502:E502,PRRAS!D505:E509,PRRAS!D512:E512)</f>
        <v>1171503</v>
      </c>
      <c r="K172" s="432">
        <f>MAX(PRRAS!D523:E525,PRRAS!D529:E530,PRRAS!D542:E542,PRRAS!D545:E551,PRRAS!D561:E561,PRRAS!D564:E564,PRRAS!D568:E570,PRRAS!D598:E600,PRRAS!D603:E603,PRRAS!D606:E606,PRRAS!D680:E680,PRRAS!D682:E682,PRRAS!D684:E684,PRRAS!D686:E686)</f>
        <v>0</v>
      </c>
      <c r="L172" s="432"/>
      <c r="M172" s="432"/>
      <c r="N172" s="433"/>
    </row>
    <row r="173" spans="1:14" ht="63.75" customHeight="1" x14ac:dyDescent="0.25">
      <c r="A173" s="422">
        <f t="shared" si="15"/>
        <v>167</v>
      </c>
      <c r="B173" s="423" t="str">
        <f t="shared" si="16"/>
        <v>Zadovoljena</v>
      </c>
      <c r="C173" s="427" t="s">
        <v>3386</v>
      </c>
      <c r="D173" s="428">
        <v>151</v>
      </c>
      <c r="E173" s="429">
        <f t="shared" si="17"/>
        <v>0</v>
      </c>
      <c r="F173" s="430">
        <f>IF(RefStr!B16=42,1,0)</f>
        <v>0</v>
      </c>
      <c r="G173" s="430">
        <f t="shared" si="18"/>
        <v>1</v>
      </c>
      <c r="H173" s="431">
        <f>MIN(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0</v>
      </c>
      <c r="I173" s="432">
        <f>MIN(PRRAS!D523:E525,PRRAS!D529:E530,PRRAS!D542:E542,PRRAS!D545:E551,PRRAS!D561:E561,PRRAS!D564:E564,PRRAS!D568:E570,PRRAS!D598:E600,PRRAS!D603:E603,PRRAS!D606:E606,PRRAS!D660:E660,PRRAS!D680:E680,PRRAS!D682:E682,PRRAS!D684:E684,PRRAS!D686:E686)</f>
        <v>0</v>
      </c>
      <c r="J173" s="432">
        <f>MAX(PRRAS!D14:E45,PRRAS!D51:E57,PRRAS!D126:E129,PRRAS!D132:E132,PRRAS!D168:E168,PRRAS!D217:E222,PRRAS!D229:E231,PRRAS!D314:E314,PRRAS!D372:E372,PRRAS!D399:E403,PRRAS!D406:E406,PRRAS!D417:E419,PRRAS!D423:E424,PRRAS!D434:E436,PRRAS!D439:E442,PRRAS!D445:E445,PRRAS!D455:E455,PRRAS!D458:E458,PRRAS!D460:E464,PRRAS!D493:E493,PRRAS!D496:E499,PRRAS!D502:E502,PRRAS!D505:E509,PRRAS!D512:E512)</f>
        <v>1171503</v>
      </c>
      <c r="K173" s="432">
        <f>MAX(PRRAS!D523:E525,PRRAS!D529:E530,PRRAS!D542:E542,PRRAS!D545:E551,PRRAS!D561:E561,PRRAS!D564:E564,PRRAS!D568:E570,PRRAS!D598:E600,PRRAS!D603:E603,PRRAS!D606:E606,PRRAS!D660:E660,PRRAS!D680:E680,PRRAS!D682:E682,PRRAS!D684:E684,PRRAS!D686:E686)</f>
        <v>0</v>
      </c>
      <c r="L173" s="432"/>
      <c r="M173" s="433"/>
    </row>
    <row r="174" spans="1:14" ht="20.100000000000001" customHeight="1" x14ac:dyDescent="0.25">
      <c r="A174" s="597" t="s">
        <v>2779</v>
      </c>
      <c r="B174" s="598"/>
      <c r="C174" s="599"/>
      <c r="E174" s="115">
        <f>SUM(E175:E236)</f>
        <v>8</v>
      </c>
    </row>
    <row r="175" spans="1:14" ht="51" customHeight="1" x14ac:dyDescent="0.25">
      <c r="A175" s="82">
        <f>1+A173</f>
        <v>168</v>
      </c>
      <c r="B175" s="153" t="str">
        <f t="shared" ref="B175:B206" si="19">IF(E175=1,"Nije zadovoljena", "Zadovoljena")</f>
        <v>Zadovoljena</v>
      </c>
      <c r="C175" s="409" t="s">
        <v>3037</v>
      </c>
      <c r="D175" s="57">
        <v>-151</v>
      </c>
      <c r="E175" s="115">
        <f>MAX(F175:I175)</f>
        <v>0</v>
      </c>
      <c r="F175" s="54">
        <f>IF(AND(RefStr!B16=11,OR(PRRAS!D625&gt;0,PRRAS!D627&gt;0),OR(PRRAS!D626&gt;0,PRRAS!D628&gt;0)),1,0)</f>
        <v>0</v>
      </c>
      <c r="G175" s="54">
        <f>IF(AND(RefStr!B16=11,OR(PRRAS!E625&gt;0,PRRAS!E627&gt;0),OR(PRRAS!E626&gt;0,PRRAS!E628&gt;0)),1,0)</f>
        <v>0</v>
      </c>
    </row>
    <row r="176" spans="1:14" ht="41.25" customHeight="1" x14ac:dyDescent="0.25">
      <c r="A176" s="83">
        <f>1+A175</f>
        <v>169</v>
      </c>
      <c r="B176" s="155" t="str">
        <f t="shared" si="19"/>
        <v>Nije zadovoljena</v>
      </c>
      <c r="C176" s="410" t="s">
        <v>3064</v>
      </c>
      <c r="D176" s="57">
        <v>-151</v>
      </c>
      <c r="E176" s="115">
        <f>MAX(F176:I176)</f>
        <v>1</v>
      </c>
      <c r="F176" s="54">
        <f>IF(AND(PRRAS!D159&gt;1000,PRRAS!D672&lt;PRRAS!D159*0.75),1,0)</f>
        <v>1</v>
      </c>
      <c r="G176" s="54">
        <f>IF(AND(PRRAS!E159&gt;1000,PRRAS!E672&lt;PRRAS!E159*0.75),1,0)</f>
        <v>1</v>
      </c>
    </row>
    <row r="177" spans="1:7" ht="30" customHeight="1" x14ac:dyDescent="0.25">
      <c r="A177" s="83">
        <f>1+A176</f>
        <v>170</v>
      </c>
      <c r="B177" s="155" t="str">
        <f t="shared" si="19"/>
        <v>Zadovoljena</v>
      </c>
      <c r="C177" s="407" t="s">
        <v>3065</v>
      </c>
      <c r="D177" s="57">
        <v>-151</v>
      </c>
      <c r="E177" s="115">
        <f t="shared" ref="E177:E240" si="20">MAX(F177:I177)</f>
        <v>0</v>
      </c>
      <c r="F177" s="54">
        <f>IF(AND(PRRAS!D30&gt;0,PRRAS!D630=0),1,0)</f>
        <v>0</v>
      </c>
      <c r="G177" s="54">
        <f>IF(AND(PRRAS!E30&gt;0,PRRAS!E630=0),1,0)</f>
        <v>0</v>
      </c>
    </row>
    <row r="178" spans="1:7" ht="41.25" customHeight="1" x14ac:dyDescent="0.25">
      <c r="A178" s="83">
        <f t="shared" ref="A178:A236" si="21">1+A177</f>
        <v>171</v>
      </c>
      <c r="B178" s="155" t="str">
        <f t="shared" si="19"/>
        <v>Zadovoljena</v>
      </c>
      <c r="C178" s="407" t="s">
        <v>3076</v>
      </c>
      <c r="D178" s="57">
        <v>-151</v>
      </c>
      <c r="E178" s="115">
        <f t="shared" si="20"/>
        <v>0</v>
      </c>
      <c r="F178" s="54">
        <f>IF(AND(PRRAS!D39&gt;0,SUM(PRRAS!D631:'PRRAS'!D632)=0),1,0)</f>
        <v>0</v>
      </c>
      <c r="G178" s="54">
        <f>IF(AND(PRRAS!E39&gt;0,SUM(PRRAS!E631:'PRRAS'!E632)=0),1,0)</f>
        <v>0</v>
      </c>
    </row>
    <row r="179" spans="1:7" ht="35.25" customHeight="1" x14ac:dyDescent="0.25">
      <c r="A179" s="83">
        <f t="shared" si="21"/>
        <v>172</v>
      </c>
      <c r="B179" s="155" t="str">
        <f t="shared" si="19"/>
        <v>Zadovoljena</v>
      </c>
      <c r="C179" s="407" t="s">
        <v>3077</v>
      </c>
      <c r="D179" s="57">
        <v>-151</v>
      </c>
      <c r="E179" s="115">
        <f t="shared" si="20"/>
        <v>0</v>
      </c>
      <c r="F179" s="54">
        <f>IF(AND(PRRAS!D86&gt;0,PRRAS!D651=0),1,0)</f>
        <v>0</v>
      </c>
      <c r="G179" s="54">
        <f>IF(AND(PRRAS!E86&gt;0,PRRAS!E651=0),1,0)</f>
        <v>0</v>
      </c>
    </row>
    <row r="180" spans="1:7" ht="43.5" customHeight="1" x14ac:dyDescent="0.25">
      <c r="A180" s="83">
        <f t="shared" si="21"/>
        <v>173</v>
      </c>
      <c r="B180" s="155" t="str">
        <f t="shared" si="19"/>
        <v>Nije zadovoljena</v>
      </c>
      <c r="C180" s="407" t="s">
        <v>3078</v>
      </c>
      <c r="D180" s="57">
        <v>-151</v>
      </c>
      <c r="E180" s="115">
        <f t="shared" si="20"/>
        <v>1</v>
      </c>
      <c r="F180" s="54">
        <f>IF(AND(PRRAS!D112&gt;0,SUM(PRRAS!D659:'PRRAS'!D660)=0),1,0)</f>
        <v>1</v>
      </c>
      <c r="G180" s="54">
        <f>IF(AND(PRRAS!E112&gt;0,SUM(PRRAS!E659:'PRRAS'!E660)=0),1,0)</f>
        <v>1</v>
      </c>
    </row>
    <row r="181" spans="1:7" ht="42" customHeight="1" x14ac:dyDescent="0.25">
      <c r="A181" s="83">
        <f t="shared" si="21"/>
        <v>174</v>
      </c>
      <c r="B181" s="155" t="str">
        <f t="shared" si="19"/>
        <v>Nije zadovoljena</v>
      </c>
      <c r="C181" s="407" t="s">
        <v>3390</v>
      </c>
      <c r="D181" s="57">
        <v>-151</v>
      </c>
      <c r="E181" s="115">
        <f t="shared" si="20"/>
        <v>1</v>
      </c>
      <c r="F181" s="54">
        <f>IF(AND(PRRAS!D151&gt;0,SUM(PRRAS!D668:'PRRAS'!D669)=0),1,0)</f>
        <v>1</v>
      </c>
      <c r="G181" s="54">
        <f>IF(AND(PRRAS!E151&gt;0,SUM(PRRAS!E668:'PRRAS'!E669)=0),1,0)</f>
        <v>1</v>
      </c>
    </row>
    <row r="182" spans="1:7" ht="33.75" customHeight="1" x14ac:dyDescent="0.25">
      <c r="A182" s="83">
        <f t="shared" si="21"/>
        <v>175</v>
      </c>
      <c r="B182" s="155" t="str">
        <f t="shared" si="19"/>
        <v>Nije zadovoljena</v>
      </c>
      <c r="C182" s="407" t="s">
        <v>3391</v>
      </c>
      <c r="D182" s="57">
        <v>-151</v>
      </c>
      <c r="E182" s="115">
        <f t="shared" si="20"/>
        <v>1</v>
      </c>
      <c r="F182" s="54">
        <f>IF(AND(PRRAS!D176&gt;0,PRRAS!D673=0),1,0)</f>
        <v>1</v>
      </c>
      <c r="G182" s="54">
        <f>IF(AND(PRRAS!E176&gt;0,PRRAS!E673=0),1,0)</f>
        <v>1</v>
      </c>
    </row>
    <row r="183" spans="1:7" ht="45" customHeight="1" x14ac:dyDescent="0.25">
      <c r="A183" s="83">
        <f t="shared" si="21"/>
        <v>176</v>
      </c>
      <c r="B183" s="155" t="str">
        <f t="shared" si="19"/>
        <v>Zadovoljena</v>
      </c>
      <c r="C183" s="407" t="s">
        <v>569</v>
      </c>
      <c r="D183" s="57">
        <v>-151</v>
      </c>
      <c r="E183" s="115">
        <f t="shared" si="20"/>
        <v>0</v>
      </c>
      <c r="F183" s="54">
        <f>IF(AND(PRRAS!D177&gt;0,SUM(PRRAS!D674:'PRRAS'!D676)=0),1,0)</f>
        <v>0</v>
      </c>
      <c r="G183" s="54">
        <f>IF(AND(PRRAS!E177&gt;0,SUM(PRRAS!E674:'PRRAS'!E676)=0),1,0)</f>
        <v>0</v>
      </c>
    </row>
    <row r="184" spans="1:7" ht="30" customHeight="1" x14ac:dyDescent="0.25">
      <c r="A184" s="83">
        <f t="shared" si="21"/>
        <v>177</v>
      </c>
      <c r="B184" s="155" t="str">
        <f t="shared" si="19"/>
        <v>Zadovoljena</v>
      </c>
      <c r="C184" s="407" t="s">
        <v>3079</v>
      </c>
      <c r="D184" s="57">
        <v>-151</v>
      </c>
      <c r="E184" s="115">
        <f t="shared" si="20"/>
        <v>0</v>
      </c>
      <c r="F184" s="54">
        <f>IF(AND(PRRAS!D183&gt;0,PRRAS!D677=0),1,0)</f>
        <v>0</v>
      </c>
      <c r="G184" s="54">
        <f>IF(AND(PRRAS!E183&gt;0,PRRAS!E677=0),1,0)</f>
        <v>0</v>
      </c>
    </row>
    <row r="185" spans="1:7" ht="30" customHeight="1" x14ac:dyDescent="0.25">
      <c r="A185" s="83">
        <f t="shared" si="21"/>
        <v>178</v>
      </c>
      <c r="B185" s="155" t="str">
        <f t="shared" si="19"/>
        <v>Zadovoljena</v>
      </c>
      <c r="C185" s="407" t="s">
        <v>3080</v>
      </c>
      <c r="D185" s="57">
        <v>-151</v>
      </c>
      <c r="E185" s="115">
        <f t="shared" si="20"/>
        <v>0</v>
      </c>
      <c r="F185" s="54">
        <f>IF(AND(PRRAS!D184&gt;0,PRRAS!D678=0),1,0)</f>
        <v>0</v>
      </c>
      <c r="G185" s="54">
        <f>IF(AND(PRRAS!E184&gt;0,PRRAS!E678=0),1,0)</f>
        <v>0</v>
      </c>
    </row>
    <row r="186" spans="1:7" ht="53.25" customHeight="1" x14ac:dyDescent="0.25">
      <c r="A186" s="83">
        <f t="shared" si="21"/>
        <v>179</v>
      </c>
      <c r="B186" s="155" t="str">
        <f t="shared" si="19"/>
        <v>Zadovoljena</v>
      </c>
      <c r="C186" s="407" t="s">
        <v>4103</v>
      </c>
      <c r="D186" s="57">
        <v>-151</v>
      </c>
      <c r="E186" s="115">
        <f t="shared" si="20"/>
        <v>0</v>
      </c>
      <c r="F186" s="54">
        <f>IF(AND(PRRAS!D201&gt;0,SUM(PRRAS!D700:'PRRAS'!D702)=0),1,0)</f>
        <v>0</v>
      </c>
      <c r="G186" s="54">
        <f>IF(AND(PRRAS!E201&gt;0,SUM(PRRAS!E700:'PRRAS'!E702)=0),1,0)</f>
        <v>0</v>
      </c>
    </row>
    <row r="187" spans="1:7" ht="30" customHeight="1" x14ac:dyDescent="0.25">
      <c r="A187" s="83">
        <f t="shared" si="21"/>
        <v>180</v>
      </c>
      <c r="B187" s="155" t="str">
        <f t="shared" si="19"/>
        <v>Nije zadovoljena</v>
      </c>
      <c r="C187" s="407" t="s">
        <v>4104</v>
      </c>
      <c r="D187" s="57">
        <v>-151</v>
      </c>
      <c r="E187" s="115">
        <f t="shared" si="20"/>
        <v>1</v>
      </c>
      <c r="F187" s="54">
        <f>IF(AND(PRRAS!D207&gt;0,PRRAS!D694=0),1,0)</f>
        <v>1</v>
      </c>
      <c r="G187" s="54">
        <f>IF(AND(PRRAS!E207&gt;0,PRRAS!E694=0),1,0)</f>
        <v>1</v>
      </c>
    </row>
    <row r="188" spans="1:7" ht="39.75" customHeight="1" x14ac:dyDescent="0.25">
      <c r="A188" s="83">
        <f t="shared" si="21"/>
        <v>181</v>
      </c>
      <c r="B188" s="155" t="str">
        <f t="shared" si="19"/>
        <v>Nije zadovoljena</v>
      </c>
      <c r="C188" s="407" t="s">
        <v>4105</v>
      </c>
      <c r="D188" s="57">
        <v>-151</v>
      </c>
      <c r="E188" s="115">
        <f t="shared" si="20"/>
        <v>1</v>
      </c>
      <c r="F188" s="54">
        <f>IF(AND(PRRAS!D233&gt;0,SUM(PRRAS!D731:D732)=0),1,0)</f>
        <v>1</v>
      </c>
      <c r="G188" s="54">
        <f>IF(AND(PRRAS!E233&gt;0,SUM(PRRAS!E731:E732)=0),1,0)</f>
        <v>1</v>
      </c>
    </row>
    <row r="189" spans="1:7" ht="30" customHeight="1" x14ac:dyDescent="0.25">
      <c r="A189" s="83">
        <f t="shared" si="21"/>
        <v>182</v>
      </c>
      <c r="B189" s="155" t="str">
        <f t="shared" si="19"/>
        <v>Nije zadovoljena</v>
      </c>
      <c r="C189" s="407" t="s">
        <v>4106</v>
      </c>
      <c r="D189" s="57">
        <v>-151</v>
      </c>
      <c r="E189" s="115">
        <f t="shared" si="20"/>
        <v>1</v>
      </c>
      <c r="F189" s="54">
        <f>IF(AND(PRRAS!D234&gt;0,PRRAS!D733=0),1,0)</f>
        <v>1</v>
      </c>
      <c r="G189" s="54">
        <f>IF(AND(PRRAS!E234&gt;0,PRRAS!E733=0),1,0)</f>
        <v>1</v>
      </c>
    </row>
    <row r="190" spans="1:7" ht="30" customHeight="1" x14ac:dyDescent="0.25">
      <c r="A190" s="83">
        <f t="shared" si="21"/>
        <v>183</v>
      </c>
      <c r="B190" s="155" t="str">
        <f t="shared" si="19"/>
        <v>Nije zadovoljena</v>
      </c>
      <c r="C190" s="407" t="s">
        <v>4107</v>
      </c>
      <c r="D190" s="57">
        <v>-151</v>
      </c>
      <c r="E190" s="115">
        <f t="shared" si="20"/>
        <v>1</v>
      </c>
      <c r="F190" s="54">
        <f>IF(AND(PRRAS!D237&gt;0,PRRAS!D734=0),1,0)</f>
        <v>1</v>
      </c>
      <c r="G190" s="54">
        <f>IF(AND(PRRAS!E237&gt;0,PRRAS!E734=0),1,0)</f>
        <v>1</v>
      </c>
    </row>
    <row r="191" spans="1:7" ht="42.75" customHeight="1" x14ac:dyDescent="0.25">
      <c r="A191" s="83">
        <f t="shared" si="21"/>
        <v>184</v>
      </c>
      <c r="B191" s="155" t="str">
        <f t="shared" si="19"/>
        <v>Zadovoljena</v>
      </c>
      <c r="C191" s="407" t="s">
        <v>1171</v>
      </c>
      <c r="D191" s="57">
        <v>-151</v>
      </c>
      <c r="E191" s="115">
        <f t="shared" si="20"/>
        <v>0</v>
      </c>
      <c r="F191" s="54">
        <f>IF(AND(PRRAS!D405&gt;0,PRRAS!D752=0),1,0)</f>
        <v>0</v>
      </c>
      <c r="G191" s="54">
        <f>IF(AND(PRRAS!E405&gt;0,PRRAS!E752=0),1,0)</f>
        <v>0</v>
      </c>
    </row>
    <row r="192" spans="1:7" ht="30" customHeight="1" x14ac:dyDescent="0.25">
      <c r="A192" s="83">
        <f t="shared" si="21"/>
        <v>185</v>
      </c>
      <c r="B192" s="155" t="str">
        <f t="shared" si="19"/>
        <v>Zadovoljena</v>
      </c>
      <c r="C192" s="407" t="s">
        <v>1172</v>
      </c>
      <c r="D192" s="57">
        <v>-151</v>
      </c>
      <c r="E192" s="115">
        <f t="shared" si="20"/>
        <v>0</v>
      </c>
      <c r="F192" s="54">
        <f>IF(AND(PRRAS!D408&gt;0,PRRAS!D753=0),1,0)</f>
        <v>0</v>
      </c>
      <c r="G192" s="54">
        <f>IF(AND(PRRAS!E408&gt;0,PRRAS!E753=0),1,0)</f>
        <v>0</v>
      </c>
    </row>
    <row r="193" spans="1:7" ht="30" customHeight="1" x14ac:dyDescent="0.25">
      <c r="A193" s="83">
        <f t="shared" si="21"/>
        <v>186</v>
      </c>
      <c r="B193" s="155" t="str">
        <f t="shared" si="19"/>
        <v>Zadovoljena</v>
      </c>
      <c r="C193" s="407" t="s">
        <v>1173</v>
      </c>
      <c r="D193" s="57">
        <v>-151</v>
      </c>
      <c r="E193" s="115">
        <f t="shared" ref="E193:E205" si="22">MAX(F193:I193)</f>
        <v>0</v>
      </c>
      <c r="F193" s="54">
        <f>IF(AND(PRRAS!D409&gt;0,PRRAS!D754=0),1,0)</f>
        <v>0</v>
      </c>
      <c r="G193" s="54">
        <f>IF(AND(PRRAS!E409&gt;0,PRRAS!E754=0),1,0)</f>
        <v>0</v>
      </c>
    </row>
    <row r="194" spans="1:7" ht="30" customHeight="1" x14ac:dyDescent="0.25">
      <c r="A194" s="83">
        <f t="shared" si="21"/>
        <v>187</v>
      </c>
      <c r="B194" s="155" t="str">
        <f t="shared" si="19"/>
        <v>Zadovoljena</v>
      </c>
      <c r="C194" s="407" t="s">
        <v>1174</v>
      </c>
      <c r="D194" s="57">
        <v>-151</v>
      </c>
      <c r="E194" s="115">
        <f t="shared" si="22"/>
        <v>0</v>
      </c>
      <c r="F194" s="54">
        <f>IF(AND(PRRAS!D410&gt;0,PRRAS!D755=0),1,0)</f>
        <v>0</v>
      </c>
      <c r="G194" s="54">
        <f>IF(AND(PRRAS!E410&gt;0,PRRAS!E755=0),1,0)</f>
        <v>0</v>
      </c>
    </row>
    <row r="195" spans="1:7" ht="38.25" customHeight="1" x14ac:dyDescent="0.25">
      <c r="A195" s="83">
        <f t="shared" si="21"/>
        <v>188</v>
      </c>
      <c r="B195" s="155" t="str">
        <f t="shared" si="19"/>
        <v>Zadovoljena</v>
      </c>
      <c r="C195" s="407" t="s">
        <v>1175</v>
      </c>
      <c r="D195" s="57">
        <v>-151</v>
      </c>
      <c r="E195" s="115">
        <f t="shared" si="22"/>
        <v>0</v>
      </c>
      <c r="F195" s="54">
        <f>IF(AND(PRRAS!D414&gt;0,PRRAS!D758=0),1,0)</f>
        <v>0</v>
      </c>
      <c r="G195" s="54">
        <f>IF(AND(PRRAS!E414&gt;0,PRRAS!E758=0),1,0)</f>
        <v>0</v>
      </c>
    </row>
    <row r="196" spans="1:7" ht="35.1" customHeight="1" x14ac:dyDescent="0.25">
      <c r="A196" s="83">
        <f t="shared" si="21"/>
        <v>189</v>
      </c>
      <c r="B196" s="155" t="str">
        <f t="shared" si="19"/>
        <v>Zadovoljena</v>
      </c>
      <c r="C196" s="407" t="s">
        <v>2658</v>
      </c>
      <c r="D196" s="57">
        <v>-151</v>
      </c>
      <c r="E196" s="115">
        <f t="shared" si="22"/>
        <v>0</v>
      </c>
      <c r="F196" s="54">
        <f>IF(AND(PRRAS!D415&gt;0,PRRAS!D759=0),1,0)</f>
        <v>0</v>
      </c>
      <c r="G196" s="54">
        <f>IF(AND(PRRAS!E415&gt;0,PRRAS!E759=0),1,0)</f>
        <v>0</v>
      </c>
    </row>
    <row r="197" spans="1:7" ht="42" customHeight="1" x14ac:dyDescent="0.25">
      <c r="A197" s="83">
        <f t="shared" si="21"/>
        <v>190</v>
      </c>
      <c r="B197" s="155" t="str">
        <f t="shared" si="19"/>
        <v>Zadovoljena</v>
      </c>
      <c r="C197" s="407" t="s">
        <v>2088</v>
      </c>
      <c r="D197" s="57">
        <v>-151</v>
      </c>
      <c r="E197" s="115">
        <f t="shared" si="22"/>
        <v>0</v>
      </c>
      <c r="F197" s="54">
        <f>IF(AND(PRRAS!D416&gt;0,PRRAS!D760=0),1,0)</f>
        <v>0</v>
      </c>
      <c r="G197" s="54">
        <f>IF(AND(PRRAS!E416&gt;0,PRRAS!E760=0),1,0)</f>
        <v>0</v>
      </c>
    </row>
    <row r="198" spans="1:7" ht="30" customHeight="1" x14ac:dyDescent="0.25">
      <c r="A198" s="83">
        <f t="shared" si="21"/>
        <v>191</v>
      </c>
      <c r="B198" s="155" t="str">
        <f t="shared" si="19"/>
        <v>Zadovoljena</v>
      </c>
      <c r="C198" s="407" t="s">
        <v>2089</v>
      </c>
      <c r="D198" s="57">
        <v>-151</v>
      </c>
      <c r="E198" s="115">
        <f t="shared" si="22"/>
        <v>0</v>
      </c>
      <c r="F198" s="54">
        <f>IF(AND(PRRAS!D444&gt;0,PRRAS!D779=0),1,0)</f>
        <v>0</v>
      </c>
      <c r="G198" s="54">
        <f>IF(AND(PRRAS!E444&gt;0,PRRAS!E779=0),1,0)</f>
        <v>0</v>
      </c>
    </row>
    <row r="199" spans="1:7" ht="30" customHeight="1" x14ac:dyDescent="0.25">
      <c r="A199" s="83">
        <f t="shared" si="21"/>
        <v>192</v>
      </c>
      <c r="B199" s="155" t="str">
        <f t="shared" si="19"/>
        <v>Zadovoljena</v>
      </c>
      <c r="C199" s="407" t="s">
        <v>2090</v>
      </c>
      <c r="D199" s="57">
        <v>-151</v>
      </c>
      <c r="E199" s="115">
        <f t="shared" si="22"/>
        <v>0</v>
      </c>
      <c r="F199" s="54">
        <f>IF(AND(PRRAS!D461&gt;0,PRRAS!D780=0),1,0)</f>
        <v>0</v>
      </c>
      <c r="G199" s="54">
        <f>IF(AND(PRRAS!E461&gt;0,PRRAS!E780=0),1,0)</f>
        <v>0</v>
      </c>
    </row>
    <row r="200" spans="1:7" ht="30" customHeight="1" x14ac:dyDescent="0.25">
      <c r="A200" s="83">
        <f t="shared" si="21"/>
        <v>193</v>
      </c>
      <c r="B200" s="155" t="str">
        <f t="shared" si="19"/>
        <v>Zadovoljena</v>
      </c>
      <c r="C200" s="407" t="s">
        <v>2091</v>
      </c>
      <c r="D200" s="57">
        <v>-151</v>
      </c>
      <c r="E200" s="115">
        <f t="shared" si="22"/>
        <v>0</v>
      </c>
      <c r="F200" s="54">
        <f>IF(AND(PRRAS!D462&gt;0,PRRAS!D781=0),1,0)</f>
        <v>0</v>
      </c>
      <c r="G200" s="54">
        <f>IF(AND(PRRAS!E462&gt;0,PRRAS!E781=0),1,0)</f>
        <v>0</v>
      </c>
    </row>
    <row r="201" spans="1:7" ht="30" customHeight="1" x14ac:dyDescent="0.25">
      <c r="A201" s="83">
        <f t="shared" si="21"/>
        <v>194</v>
      </c>
      <c r="B201" s="155" t="str">
        <f t="shared" si="19"/>
        <v>Zadovoljena</v>
      </c>
      <c r="C201" s="407" t="s">
        <v>2092</v>
      </c>
      <c r="D201" s="57">
        <v>-151</v>
      </c>
      <c r="E201" s="115">
        <f t="shared" si="22"/>
        <v>0</v>
      </c>
      <c r="F201" s="54">
        <f>IF(AND(PRRAS!D463&gt;0,PRRAS!D782=0),1,0)</f>
        <v>0</v>
      </c>
      <c r="G201" s="54">
        <f>IF(AND(PRRAS!E463&gt;0,PRRAS!E782=0),1,0)</f>
        <v>0</v>
      </c>
    </row>
    <row r="202" spans="1:7" ht="30" customHeight="1" x14ac:dyDescent="0.25">
      <c r="A202" s="83">
        <f t="shared" si="21"/>
        <v>195</v>
      </c>
      <c r="B202" s="155" t="str">
        <f t="shared" si="19"/>
        <v>Zadovoljena</v>
      </c>
      <c r="C202" s="407" t="s">
        <v>2093</v>
      </c>
      <c r="D202" s="57">
        <v>-151</v>
      </c>
      <c r="E202" s="115">
        <f t="shared" si="22"/>
        <v>0</v>
      </c>
      <c r="F202" s="54">
        <f>IF(AND(PRRAS!D464&gt;0,PRRAS!D783=0),1,0)</f>
        <v>0</v>
      </c>
      <c r="G202" s="54">
        <f>IF(AND(PRRAS!E464&gt;0,PRRAS!E783=0),1,0)</f>
        <v>0</v>
      </c>
    </row>
    <row r="203" spans="1:7" ht="30" customHeight="1" x14ac:dyDescent="0.25">
      <c r="A203" s="83">
        <f t="shared" si="21"/>
        <v>196</v>
      </c>
      <c r="B203" s="155" t="str">
        <f t="shared" si="19"/>
        <v>Zadovoljena</v>
      </c>
      <c r="C203" s="407" t="s">
        <v>2094</v>
      </c>
      <c r="D203" s="57">
        <v>-151</v>
      </c>
      <c r="E203" s="115">
        <f t="shared" si="22"/>
        <v>0</v>
      </c>
      <c r="F203" s="54">
        <f>IF(AND(PRRAS!D467&gt;0,PRRAS!D786=0),1,0)</f>
        <v>0</v>
      </c>
      <c r="G203" s="54">
        <f>IF(AND(PRRAS!E467&gt;0,PRRAS!E786=0),1,0)</f>
        <v>0</v>
      </c>
    </row>
    <row r="204" spans="1:7" ht="30" customHeight="1" x14ac:dyDescent="0.25">
      <c r="A204" s="83">
        <f t="shared" si="21"/>
        <v>197</v>
      </c>
      <c r="B204" s="155" t="str">
        <f t="shared" si="19"/>
        <v>Zadovoljena</v>
      </c>
      <c r="C204" s="407" t="s">
        <v>2095</v>
      </c>
      <c r="D204" s="57">
        <v>-151</v>
      </c>
      <c r="E204" s="115">
        <f t="shared" si="22"/>
        <v>0</v>
      </c>
      <c r="F204" s="54">
        <f>IF(AND(PRRAS!D468&gt;0,PRRAS!D787=0),1,0)</f>
        <v>0</v>
      </c>
      <c r="G204" s="54">
        <f>IF(AND(PRRAS!E468&gt;0,PRRAS!E787=0),1,0)</f>
        <v>0</v>
      </c>
    </row>
    <row r="205" spans="1:7" ht="30" customHeight="1" x14ac:dyDescent="0.25">
      <c r="A205" s="83">
        <f t="shared" si="21"/>
        <v>198</v>
      </c>
      <c r="B205" s="155" t="str">
        <f t="shared" si="19"/>
        <v>Zadovoljena</v>
      </c>
      <c r="C205" s="407" t="s">
        <v>2096</v>
      </c>
      <c r="D205" s="57">
        <v>-151</v>
      </c>
      <c r="E205" s="115">
        <f t="shared" si="22"/>
        <v>0</v>
      </c>
      <c r="F205" s="54">
        <f>IF(AND(PRRAS!D470&gt;0,PRRAS!D788=0),1,0)</f>
        <v>0</v>
      </c>
      <c r="G205" s="54">
        <f>IF(AND(PRRAS!E470&gt;0,PRRAS!E788=0),1,0)</f>
        <v>0</v>
      </c>
    </row>
    <row r="206" spans="1:7" ht="38.25" customHeight="1" x14ac:dyDescent="0.25">
      <c r="A206" s="83">
        <f t="shared" si="21"/>
        <v>199</v>
      </c>
      <c r="B206" s="155" t="str">
        <f t="shared" si="19"/>
        <v>Zadovoljena</v>
      </c>
      <c r="C206" s="407" t="s">
        <v>3393</v>
      </c>
      <c r="D206" s="57">
        <v>-151</v>
      </c>
      <c r="E206" s="115">
        <f t="shared" si="20"/>
        <v>0</v>
      </c>
      <c r="F206" s="54">
        <f>IF(AND(PRRAS!D473&gt;0,PRRAS!D791=0),1,0)</f>
        <v>0</v>
      </c>
      <c r="G206" s="54">
        <f>IF(AND(PRRAS!E473&gt;0,PRRAS!E791=0),1,0)</f>
        <v>0</v>
      </c>
    </row>
    <row r="207" spans="1:7" ht="40.5" customHeight="1" x14ac:dyDescent="0.25">
      <c r="A207" s="83">
        <f t="shared" si="21"/>
        <v>200</v>
      </c>
      <c r="B207" s="155" t="str">
        <f t="shared" ref="B207:B236" si="23">IF(E207=1,"Nije zadovoljena", "Zadovoljena")</f>
        <v>Zadovoljena</v>
      </c>
      <c r="C207" s="407" t="s">
        <v>3777</v>
      </c>
      <c r="D207" s="57">
        <v>-151</v>
      </c>
      <c r="E207" s="115">
        <f t="shared" si="20"/>
        <v>0</v>
      </c>
      <c r="F207" s="54">
        <f>IF(AND(PRRAS!D474&gt;0,PRRAS!D792=0),1,0)</f>
        <v>0</v>
      </c>
      <c r="G207" s="54">
        <f>IF(AND(PRRAS!E474&gt;0,PRRAS!E792=0),1,0)</f>
        <v>0</v>
      </c>
    </row>
    <row r="208" spans="1:7" ht="30" customHeight="1" x14ac:dyDescent="0.25">
      <c r="A208" s="83">
        <f t="shared" si="21"/>
        <v>201</v>
      </c>
      <c r="B208" s="155" t="str">
        <f t="shared" si="23"/>
        <v>Zadovoljena</v>
      </c>
      <c r="C208" s="407" t="s">
        <v>3778</v>
      </c>
      <c r="D208" s="57">
        <v>-151</v>
      </c>
      <c r="E208" s="115">
        <f t="shared" si="20"/>
        <v>0</v>
      </c>
      <c r="F208" s="54">
        <f>IF(AND(PRRAS!D476&gt;0,PRRAS!D795=0),1,0)</f>
        <v>0</v>
      </c>
      <c r="G208" s="54">
        <f>IF(AND(PRRAS!E476&gt;0,PRRAS!E795=0),1,0)</f>
        <v>0</v>
      </c>
    </row>
    <row r="209" spans="1:7" ht="30" customHeight="1" x14ac:dyDescent="0.25">
      <c r="A209" s="83">
        <f t="shared" si="21"/>
        <v>202</v>
      </c>
      <c r="B209" s="155" t="str">
        <f t="shared" si="23"/>
        <v>Zadovoljena</v>
      </c>
      <c r="C209" s="407" t="s">
        <v>3779</v>
      </c>
      <c r="D209" s="57">
        <v>-151</v>
      </c>
      <c r="E209" s="115">
        <f t="shared" si="20"/>
        <v>0</v>
      </c>
      <c r="F209" s="54">
        <f>IF(AND(PRRAS!D477&gt;0,PRRAS!D796=0),1,0)</f>
        <v>0</v>
      </c>
      <c r="G209" s="54">
        <f>IF(AND(PRRAS!E477&gt;0,PRRAS!E796=0),1,0)</f>
        <v>0</v>
      </c>
    </row>
    <row r="210" spans="1:7" ht="30" customHeight="1" x14ac:dyDescent="0.25">
      <c r="A210" s="83">
        <f t="shared" si="21"/>
        <v>203</v>
      </c>
      <c r="B210" s="155" t="str">
        <f t="shared" si="23"/>
        <v>Zadovoljena</v>
      </c>
      <c r="C210" s="407" t="s">
        <v>3780</v>
      </c>
      <c r="D210" s="57">
        <v>-151</v>
      </c>
      <c r="E210" s="115">
        <f t="shared" si="20"/>
        <v>0</v>
      </c>
      <c r="F210" s="54">
        <f>IF(AND(PRRAS!D479&gt;0,PRRAS!D797=0),1,0)</f>
        <v>0</v>
      </c>
      <c r="G210" s="54">
        <f>IF(AND(PRRAS!E479&gt;0,PRRAS!E797=0),1,0)</f>
        <v>0</v>
      </c>
    </row>
    <row r="211" spans="1:7" ht="30" customHeight="1" x14ac:dyDescent="0.25">
      <c r="A211" s="83">
        <f t="shared" si="21"/>
        <v>204</v>
      </c>
      <c r="B211" s="155" t="str">
        <f t="shared" si="23"/>
        <v>Zadovoljena</v>
      </c>
      <c r="C211" s="407" t="s">
        <v>3781</v>
      </c>
      <c r="D211" s="57">
        <v>-151</v>
      </c>
      <c r="E211" s="115">
        <f t="shared" si="20"/>
        <v>0</v>
      </c>
      <c r="F211" s="54">
        <f>IF(AND(PRRAS!D480&gt;0,PRRAS!D798=0),1,0)</f>
        <v>0</v>
      </c>
      <c r="G211" s="54">
        <f>IF(AND(PRRAS!E480&gt;0,PRRAS!E798=0),1,0)</f>
        <v>0</v>
      </c>
    </row>
    <row r="212" spans="1:7" ht="30" customHeight="1" x14ac:dyDescent="0.25">
      <c r="A212" s="83">
        <f t="shared" si="21"/>
        <v>205</v>
      </c>
      <c r="B212" s="155" t="str">
        <f t="shared" si="23"/>
        <v>Zadovoljena</v>
      </c>
      <c r="C212" s="407" t="s">
        <v>3782</v>
      </c>
      <c r="D212" s="57">
        <v>-151</v>
      </c>
      <c r="E212" s="115">
        <f t="shared" si="20"/>
        <v>0</v>
      </c>
      <c r="F212" s="54">
        <f>IF(AND(PRRAS!D481&gt;0,PRRAS!D799=0),1,0)</f>
        <v>0</v>
      </c>
      <c r="G212" s="54">
        <f>IF(AND(PRRAS!E481&gt;0,PRRAS!E799=0),1,0)</f>
        <v>0</v>
      </c>
    </row>
    <row r="213" spans="1:7" ht="30" customHeight="1" x14ac:dyDescent="0.25">
      <c r="A213" s="83">
        <f t="shared" si="21"/>
        <v>206</v>
      </c>
      <c r="B213" s="155" t="str">
        <f t="shared" si="23"/>
        <v>Zadovoljena</v>
      </c>
      <c r="C213" s="407" t="s">
        <v>3783</v>
      </c>
      <c r="D213" s="57">
        <v>-151</v>
      </c>
      <c r="E213" s="115">
        <f t="shared" si="20"/>
        <v>0</v>
      </c>
      <c r="F213" s="54">
        <f>IF(AND(PRRAS!D501&gt;0,PRRAS!D812=0),1,0)</f>
        <v>0</v>
      </c>
      <c r="G213" s="54">
        <f>IF(AND(PRRAS!E501&gt;0,PRRAS!E812=0),1,0)</f>
        <v>0</v>
      </c>
    </row>
    <row r="214" spans="1:7" ht="40.5" customHeight="1" x14ac:dyDescent="0.25">
      <c r="A214" s="83">
        <f t="shared" si="21"/>
        <v>207</v>
      </c>
      <c r="B214" s="155" t="str">
        <f t="shared" si="23"/>
        <v>Zadovoljena</v>
      </c>
      <c r="C214" s="407" t="s">
        <v>3784</v>
      </c>
      <c r="D214" s="57">
        <v>-151</v>
      </c>
      <c r="E214" s="115">
        <f t="shared" si="20"/>
        <v>0</v>
      </c>
      <c r="F214" s="54">
        <f>IF(AND(PRRAS!D511&gt;0,PRRAS!D814=0),1,0)</f>
        <v>0</v>
      </c>
      <c r="G214" s="54">
        <f>IF(AND(PRRAS!E511&gt;0,PRRAS!E814=0),1,0)</f>
        <v>0</v>
      </c>
    </row>
    <row r="215" spans="1:7" ht="30" customHeight="1" x14ac:dyDescent="0.25">
      <c r="A215" s="83">
        <f t="shared" si="21"/>
        <v>208</v>
      </c>
      <c r="B215" s="155" t="str">
        <f t="shared" si="23"/>
        <v>Zadovoljena</v>
      </c>
      <c r="C215" s="407" t="s">
        <v>2155</v>
      </c>
      <c r="D215" s="57">
        <v>-151</v>
      </c>
      <c r="E215" s="115">
        <f t="shared" si="20"/>
        <v>0</v>
      </c>
      <c r="F215" s="54">
        <f>IF(AND(PRRAS!D514&gt;0,PRRAS!D815=0),1,0)</f>
        <v>0</v>
      </c>
      <c r="G215" s="54">
        <f>IF(AND(PRRAS!E514&gt;0,PRRAS!E815=0),1,0)</f>
        <v>0</v>
      </c>
    </row>
    <row r="216" spans="1:7" ht="30" customHeight="1" x14ac:dyDescent="0.25">
      <c r="A216" s="83">
        <f t="shared" si="21"/>
        <v>209</v>
      </c>
      <c r="B216" s="155" t="str">
        <f t="shared" si="23"/>
        <v>Zadovoljena</v>
      </c>
      <c r="C216" s="407" t="s">
        <v>1486</v>
      </c>
      <c r="D216" s="57">
        <v>-151</v>
      </c>
      <c r="E216" s="115">
        <f t="shared" si="20"/>
        <v>0</v>
      </c>
      <c r="F216" s="54">
        <f>IF(AND(PRRAS!D515&gt;0,PRRAS!D816=0),1,0)</f>
        <v>0</v>
      </c>
      <c r="G216" s="54">
        <f>IF(AND(PRRAS!E515&gt;0,PRRAS!E816=0),1,0)</f>
        <v>0</v>
      </c>
    </row>
    <row r="217" spans="1:7" ht="30" customHeight="1" x14ac:dyDescent="0.25">
      <c r="A217" s="83">
        <f t="shared" si="21"/>
        <v>210</v>
      </c>
      <c r="B217" s="155" t="str">
        <f t="shared" si="23"/>
        <v>Zadovoljena</v>
      </c>
      <c r="C217" s="407" t="s">
        <v>1487</v>
      </c>
      <c r="D217" s="57">
        <v>-151</v>
      </c>
      <c r="E217" s="115">
        <f t="shared" si="20"/>
        <v>0</v>
      </c>
      <c r="F217" s="54">
        <f>IF(AND(PRRAS!D516&gt;0,PRRAS!D817=0),1,0)</f>
        <v>0</v>
      </c>
      <c r="G217" s="54">
        <f>IF(AND(PRRAS!E516&gt;0,PRRAS!E817=0),1,0)</f>
        <v>0</v>
      </c>
    </row>
    <row r="218" spans="1:7" ht="30" customHeight="1" x14ac:dyDescent="0.25">
      <c r="A218" s="83">
        <f t="shared" si="21"/>
        <v>211</v>
      </c>
      <c r="B218" s="155" t="str">
        <f t="shared" si="23"/>
        <v>Zadovoljena</v>
      </c>
      <c r="C218" s="407" t="s">
        <v>4231</v>
      </c>
      <c r="D218" s="57">
        <v>-151</v>
      </c>
      <c r="E218" s="115">
        <f t="shared" si="20"/>
        <v>0</v>
      </c>
      <c r="F218" s="54">
        <f>IF(AND(PRRAS!D520&gt;0,PRRAS!D820=0),1,0)</f>
        <v>0</v>
      </c>
      <c r="G218" s="54">
        <f>IF(AND(PRRAS!E520&gt;0,PRRAS!E820=0),1,0)</f>
        <v>0</v>
      </c>
    </row>
    <row r="219" spans="1:7" ht="30" customHeight="1" x14ac:dyDescent="0.25">
      <c r="A219" s="83">
        <f t="shared" si="21"/>
        <v>212</v>
      </c>
      <c r="B219" s="155" t="str">
        <f t="shared" si="23"/>
        <v>Zadovoljena</v>
      </c>
      <c r="C219" s="407" t="s">
        <v>2969</v>
      </c>
      <c r="D219" s="57">
        <v>-151</v>
      </c>
      <c r="E219" s="115">
        <f t="shared" si="20"/>
        <v>0</v>
      </c>
      <c r="F219" s="54">
        <f>IF(AND(PRRAS!D521&gt;0,PRRAS!D821=0),1,0)</f>
        <v>0</v>
      </c>
      <c r="G219" s="54">
        <f>IF(AND(PRRAS!E521&gt;0,PRRAS!E821=0),1,0)</f>
        <v>0</v>
      </c>
    </row>
    <row r="220" spans="1:7" ht="41.25" customHeight="1" x14ac:dyDescent="0.25">
      <c r="A220" s="83">
        <f t="shared" si="21"/>
        <v>213</v>
      </c>
      <c r="B220" s="155" t="str">
        <f t="shared" si="23"/>
        <v>Zadovoljena</v>
      </c>
      <c r="C220" s="407" t="s">
        <v>2970</v>
      </c>
      <c r="D220" s="57">
        <v>-151</v>
      </c>
      <c r="E220" s="115">
        <f t="shared" si="20"/>
        <v>0</v>
      </c>
      <c r="F220" s="54">
        <f>IF(AND(PRRAS!D522&gt;0,PRRAS!D822=0),1,0)</f>
        <v>0</v>
      </c>
      <c r="G220" s="54">
        <f>IF(AND(PRRAS!E522&gt;0,PRRAS!E822=0),1,0)</f>
        <v>0</v>
      </c>
    </row>
    <row r="221" spans="1:7" ht="30" customHeight="1" x14ac:dyDescent="0.25">
      <c r="A221" s="83">
        <f t="shared" si="21"/>
        <v>214</v>
      </c>
      <c r="B221" s="155" t="str">
        <f t="shared" si="23"/>
        <v>Zadovoljena</v>
      </c>
      <c r="C221" s="407" t="s">
        <v>1549</v>
      </c>
      <c r="D221" s="57">
        <v>-151</v>
      </c>
      <c r="E221" s="115">
        <f t="shared" si="20"/>
        <v>0</v>
      </c>
      <c r="F221" s="54">
        <f>IF(AND(PRRAS!D567&gt;0,PRRAS!D841=0),1,0)</f>
        <v>0</v>
      </c>
      <c r="G221" s="54">
        <f>IF(AND(PRRAS!E567&gt;0,PRRAS!E841=0),1,0)</f>
        <v>0</v>
      </c>
    </row>
    <row r="222" spans="1:7" ht="30" customHeight="1" x14ac:dyDescent="0.25">
      <c r="A222" s="83">
        <f t="shared" si="21"/>
        <v>215</v>
      </c>
      <c r="B222" s="155" t="str">
        <f t="shared" si="23"/>
        <v>Zadovoljena</v>
      </c>
      <c r="C222" s="407" t="s">
        <v>1550</v>
      </c>
      <c r="D222" s="57">
        <v>-151</v>
      </c>
      <c r="E222" s="115">
        <f t="shared" si="20"/>
        <v>0</v>
      </c>
      <c r="F222" s="54">
        <f>IF(AND(PRRAS!D568&gt;0,PRRAS!D842=0),1,0)</f>
        <v>0</v>
      </c>
      <c r="G222" s="54">
        <f>IF(AND(PRRAS!E568&gt;0,PRRAS!E842=0),1,0)</f>
        <v>0</v>
      </c>
    </row>
    <row r="223" spans="1:7" ht="30" customHeight="1" x14ac:dyDescent="0.25">
      <c r="A223" s="83">
        <f t="shared" si="21"/>
        <v>216</v>
      </c>
      <c r="B223" s="155" t="str">
        <f t="shared" si="23"/>
        <v>Zadovoljena</v>
      </c>
      <c r="C223" s="407" t="s">
        <v>878</v>
      </c>
      <c r="D223" s="57">
        <v>-151</v>
      </c>
      <c r="E223" s="115">
        <f t="shared" si="20"/>
        <v>0</v>
      </c>
      <c r="F223" s="54">
        <f>IF(AND(PRRAS!D569&gt;0,PRRAS!D843=0),1,0)</f>
        <v>0</v>
      </c>
      <c r="G223" s="54">
        <f>IF(AND(PRRAS!E569&gt;0,PRRAS!E843=0),1,0)</f>
        <v>0</v>
      </c>
    </row>
    <row r="224" spans="1:7" ht="33" customHeight="1" x14ac:dyDescent="0.25">
      <c r="A224" s="83">
        <f t="shared" si="21"/>
        <v>217</v>
      </c>
      <c r="B224" s="155" t="str">
        <f t="shared" si="23"/>
        <v>Zadovoljena</v>
      </c>
      <c r="C224" s="407" t="s">
        <v>901</v>
      </c>
      <c r="D224" s="57">
        <v>-151</v>
      </c>
      <c r="E224" s="115">
        <f t="shared" si="20"/>
        <v>0</v>
      </c>
      <c r="F224" s="54">
        <f>IF(AND(PRRAS!D570&gt;0,PRRAS!D844=0),1,0)</f>
        <v>0</v>
      </c>
      <c r="G224" s="54">
        <f>IF(AND(PRRAS!E570&gt;0,PRRAS!E844=0),1,0)</f>
        <v>0</v>
      </c>
    </row>
    <row r="225" spans="1:11" ht="42.75" customHeight="1" x14ac:dyDescent="0.25">
      <c r="A225" s="83">
        <f t="shared" si="21"/>
        <v>218</v>
      </c>
      <c r="B225" s="155" t="str">
        <f t="shared" si="23"/>
        <v>Zadovoljena</v>
      </c>
      <c r="C225" s="407" t="s">
        <v>1551</v>
      </c>
      <c r="D225" s="57">
        <v>-151</v>
      </c>
      <c r="E225" s="115">
        <f t="shared" si="20"/>
        <v>0</v>
      </c>
      <c r="F225" s="54">
        <f>IF(AND(PRRAS!D573&gt;0,PRRAS!D847=0),1,0)</f>
        <v>0</v>
      </c>
      <c r="G225" s="54">
        <f>IF(AND(PRRAS!E573&gt;0,PRRAS!E847=0),1,0)</f>
        <v>0</v>
      </c>
    </row>
    <row r="226" spans="1:11" ht="39.75" customHeight="1" x14ac:dyDescent="0.25">
      <c r="A226" s="83">
        <f t="shared" si="21"/>
        <v>219</v>
      </c>
      <c r="B226" s="155" t="str">
        <f t="shared" si="23"/>
        <v>Zadovoljena</v>
      </c>
      <c r="C226" s="407" t="s">
        <v>1552</v>
      </c>
      <c r="D226" s="57">
        <v>-151</v>
      </c>
      <c r="E226" s="115">
        <f t="shared" si="20"/>
        <v>0</v>
      </c>
      <c r="F226" s="54">
        <f>IF(AND(PRRAS!D574&gt;0,PRRAS!D848=0),1,0)</f>
        <v>0</v>
      </c>
      <c r="G226" s="54">
        <f>IF(AND(PRRAS!E574&gt;0,PRRAS!E848=0),1,0)</f>
        <v>0</v>
      </c>
    </row>
    <row r="227" spans="1:11" ht="42.75" customHeight="1" x14ac:dyDescent="0.25">
      <c r="A227" s="83">
        <f t="shared" si="21"/>
        <v>220</v>
      </c>
      <c r="B227" s="155" t="str">
        <f t="shared" si="23"/>
        <v>Zadovoljena</v>
      </c>
      <c r="C227" s="407" t="s">
        <v>902</v>
      </c>
      <c r="D227" s="57">
        <v>-151</v>
      </c>
      <c r="E227" s="115">
        <f t="shared" si="20"/>
        <v>0</v>
      </c>
      <c r="F227" s="54">
        <f>IF(AND(PRRAS!D576&gt;0,PRRAS!D849=0),1,0)</f>
        <v>0</v>
      </c>
      <c r="G227" s="54">
        <f>IF(AND(PRRAS!E576&gt;0,PRRAS!E849=0),1,0)</f>
        <v>0</v>
      </c>
    </row>
    <row r="228" spans="1:11" ht="42" customHeight="1" x14ac:dyDescent="0.25">
      <c r="A228" s="83">
        <f t="shared" si="21"/>
        <v>221</v>
      </c>
      <c r="B228" s="155" t="str">
        <f t="shared" si="23"/>
        <v>Zadovoljena</v>
      </c>
      <c r="C228" s="407" t="s">
        <v>1553</v>
      </c>
      <c r="D228" s="57">
        <v>-151</v>
      </c>
      <c r="E228" s="115">
        <f t="shared" si="20"/>
        <v>0</v>
      </c>
      <c r="F228" s="54">
        <f>IF(AND(PRRAS!D579&gt;0,PRRAS!D852=0),1,0)</f>
        <v>0</v>
      </c>
      <c r="G228" s="54">
        <f>IF(AND(PRRAS!E579&gt;0,PRRAS!E852=0),1,0)</f>
        <v>0</v>
      </c>
    </row>
    <row r="229" spans="1:11" ht="42" customHeight="1" x14ac:dyDescent="0.25">
      <c r="A229" s="83">
        <f t="shared" si="21"/>
        <v>222</v>
      </c>
      <c r="B229" s="155" t="str">
        <f t="shared" si="23"/>
        <v>Zadovoljena</v>
      </c>
      <c r="C229" s="407" t="s">
        <v>1554</v>
      </c>
      <c r="D229" s="57">
        <v>-151</v>
      </c>
      <c r="E229" s="115">
        <f t="shared" si="20"/>
        <v>0</v>
      </c>
      <c r="F229" s="54">
        <f>IF(AND(PRRAS!D580&gt;0,PRRAS!D853=0),1,0)</f>
        <v>0</v>
      </c>
      <c r="G229" s="54">
        <f>IF(AND(PRRAS!E580&gt;0,PRRAS!E853=0),1,0)</f>
        <v>0</v>
      </c>
    </row>
    <row r="230" spans="1:11" ht="42.75" customHeight="1" x14ac:dyDescent="0.25">
      <c r="A230" s="83">
        <f t="shared" si="21"/>
        <v>223</v>
      </c>
      <c r="B230" s="155" t="str">
        <f t="shared" si="23"/>
        <v>Zadovoljena</v>
      </c>
      <c r="C230" s="407" t="s">
        <v>1555</v>
      </c>
      <c r="D230" s="57">
        <v>-151</v>
      </c>
      <c r="E230" s="115">
        <f t="shared" si="20"/>
        <v>0</v>
      </c>
      <c r="F230" s="54">
        <f>IF(AND(PRRAS!D582&gt;0,PRRAS!D856=0),1,0)</f>
        <v>0</v>
      </c>
      <c r="G230" s="54">
        <f>IF(AND(PRRAS!E582&gt;0,PRRAS!E856=0),1,0)</f>
        <v>0</v>
      </c>
    </row>
    <row r="231" spans="1:11" ht="45" customHeight="1" x14ac:dyDescent="0.25">
      <c r="A231" s="83">
        <f t="shared" si="21"/>
        <v>224</v>
      </c>
      <c r="B231" s="155" t="str">
        <f t="shared" si="23"/>
        <v>Zadovoljena</v>
      </c>
      <c r="C231" s="407" t="s">
        <v>1556</v>
      </c>
      <c r="D231" s="57">
        <v>-151</v>
      </c>
      <c r="E231" s="115">
        <f t="shared" si="20"/>
        <v>0</v>
      </c>
      <c r="F231" s="54">
        <f>IF(AND(PRRAS!D583&gt;0,PRRAS!D857=0),1,0)</f>
        <v>0</v>
      </c>
      <c r="G231" s="54">
        <f>IF(AND(PRRAS!E583&gt;0,PRRAS!E857=0),1,0)</f>
        <v>0</v>
      </c>
    </row>
    <row r="232" spans="1:11" ht="40.5" customHeight="1" x14ac:dyDescent="0.25">
      <c r="A232" s="83">
        <f t="shared" si="21"/>
        <v>225</v>
      </c>
      <c r="B232" s="155" t="str">
        <f t="shared" si="23"/>
        <v>Zadovoljena</v>
      </c>
      <c r="C232" s="407" t="s">
        <v>1557</v>
      </c>
      <c r="D232" s="57">
        <v>-151</v>
      </c>
      <c r="E232" s="115">
        <f t="shared" si="20"/>
        <v>0</v>
      </c>
      <c r="F232" s="54">
        <f>IF(AND(PRRAS!D585&gt;0,PRRAS!D858=0),1,0)</f>
        <v>0</v>
      </c>
      <c r="G232" s="54">
        <f>IF(AND(PRRAS!E584&gt;0,PRRAS!E858=0),1,0)</f>
        <v>0</v>
      </c>
    </row>
    <row r="233" spans="1:11" ht="30" customHeight="1" x14ac:dyDescent="0.25">
      <c r="A233" s="83">
        <f t="shared" si="21"/>
        <v>226</v>
      </c>
      <c r="B233" s="155" t="str">
        <f t="shared" si="23"/>
        <v>Zadovoljena</v>
      </c>
      <c r="C233" s="407" t="s">
        <v>1558</v>
      </c>
      <c r="D233" s="57">
        <v>-151</v>
      </c>
      <c r="E233" s="115">
        <f t="shared" si="20"/>
        <v>0</v>
      </c>
      <c r="F233" s="54">
        <f>IF(AND(PRRAS!D586&gt;0,PRRAS!D859=0),1,0)</f>
        <v>0</v>
      </c>
      <c r="G233" s="54">
        <f>IF(AND(PRRAS!E586&gt;0,PRRAS!E859=0),1,0)</f>
        <v>0</v>
      </c>
    </row>
    <row r="234" spans="1:11" ht="30" customHeight="1" x14ac:dyDescent="0.25">
      <c r="A234" s="83">
        <f t="shared" si="21"/>
        <v>227</v>
      </c>
      <c r="B234" s="155" t="str">
        <f t="shared" si="23"/>
        <v>Zadovoljena</v>
      </c>
      <c r="C234" s="407" t="s">
        <v>903</v>
      </c>
      <c r="D234" s="57">
        <v>-151</v>
      </c>
      <c r="E234" s="115">
        <f t="shared" si="20"/>
        <v>0</v>
      </c>
      <c r="F234" s="54">
        <f>IF(AND(PRRAS!D587&gt;0,PRRAS!D860=0),1,0)</f>
        <v>0</v>
      </c>
      <c r="G234" s="54">
        <f>IF(AND(PRRAS!E587&gt;0,PRRAS!E860=0),1,0)</f>
        <v>0</v>
      </c>
    </row>
    <row r="235" spans="1:11" ht="30" customHeight="1" x14ac:dyDescent="0.25">
      <c r="A235" s="83">
        <f t="shared" si="21"/>
        <v>228</v>
      </c>
      <c r="B235" s="155" t="str">
        <f t="shared" si="23"/>
        <v>Zadovoljena</v>
      </c>
      <c r="C235" s="407" t="s">
        <v>1559</v>
      </c>
      <c r="D235" s="57">
        <v>-151</v>
      </c>
      <c r="E235" s="115">
        <f t="shared" si="20"/>
        <v>0</v>
      </c>
      <c r="F235" s="54">
        <f>IF(AND(PRRAS!D605&gt;0,PRRAS!D875=0),1,0)</f>
        <v>0</v>
      </c>
      <c r="G235" s="54">
        <f>IF(AND(PRRAS!E605&gt;0,PRRAS!E875=0),1,0)</f>
        <v>0</v>
      </c>
    </row>
    <row r="236" spans="1:11" ht="30" customHeight="1" x14ac:dyDescent="0.25">
      <c r="A236" s="83">
        <f t="shared" si="21"/>
        <v>229</v>
      </c>
      <c r="B236" s="155" t="str">
        <f t="shared" si="23"/>
        <v>Zadovoljena</v>
      </c>
      <c r="C236" s="407" t="s">
        <v>3036</v>
      </c>
      <c r="D236" s="57">
        <v>-151</v>
      </c>
      <c r="E236" s="115">
        <f t="shared" si="20"/>
        <v>0</v>
      </c>
      <c r="F236" s="54">
        <f>IF(MAX(PRRAS!D625:E628)&gt;1000,1,0)</f>
        <v>0</v>
      </c>
    </row>
    <row r="237" spans="1:11" ht="20.100000000000001" customHeight="1" x14ac:dyDescent="0.25">
      <c r="A237" s="594" t="s">
        <v>2780</v>
      </c>
      <c r="B237" s="595"/>
      <c r="C237" s="596"/>
      <c r="E237" s="115">
        <f>SUM(E238:E260)</f>
        <v>0</v>
      </c>
    </row>
    <row r="238" spans="1:11" customFormat="1" ht="30" customHeight="1" x14ac:dyDescent="0.25">
      <c r="A238" s="82">
        <f>1+A236</f>
        <v>230</v>
      </c>
      <c r="B238" s="153" t="str">
        <f t="shared" ref="B238:B260" si="24">IF(E238=1,"Nije zadovoljena", "Zadovoljena")</f>
        <v>Zadovoljena</v>
      </c>
      <c r="C238" s="159" t="s">
        <v>904</v>
      </c>
      <c r="E238" s="115">
        <f t="shared" si="20"/>
        <v>0</v>
      </c>
      <c r="F238" s="114">
        <f>IF(ABS(Bil!D12-Bil!D157)&gt;1,1,0)</f>
        <v>0</v>
      </c>
      <c r="G238" s="114">
        <f>IF(ABS(Bil!E12-Bil!E157)&gt;1,1,0)</f>
        <v>0</v>
      </c>
      <c r="H238" s="114"/>
      <c r="I238" s="114"/>
      <c r="J238" s="114"/>
      <c r="K238" s="114"/>
    </row>
    <row r="239" spans="1:11" customFormat="1" ht="20.100000000000001" customHeight="1" x14ac:dyDescent="0.25">
      <c r="A239" s="83">
        <f>1+A238</f>
        <v>231</v>
      </c>
      <c r="B239" s="155" t="str">
        <f t="shared" si="24"/>
        <v>Zadovoljena</v>
      </c>
      <c r="C239" s="156" t="s">
        <v>1148</v>
      </c>
      <c r="E239" s="115">
        <f t="shared" si="20"/>
        <v>0</v>
      </c>
      <c r="F239" s="114">
        <f>IF(AND(Bil!D226&lt;&gt;0,Bil!D230&lt;&gt;0),1,0)</f>
        <v>0</v>
      </c>
      <c r="G239" s="114">
        <f>IF(AND(Bil!E226&lt;&gt;0,Bil!E230&lt;&gt;0),1,0)</f>
        <v>0</v>
      </c>
      <c r="H239" s="114"/>
      <c r="I239" s="114"/>
      <c r="J239" s="114"/>
      <c r="K239" s="114"/>
    </row>
    <row r="240" spans="1:11" customFormat="1" ht="20.100000000000001" customHeight="1" x14ac:dyDescent="0.25">
      <c r="A240" s="83">
        <f t="shared" ref="A240:A259" si="25">1+A239</f>
        <v>232</v>
      </c>
      <c r="B240" s="155" t="str">
        <f t="shared" si="24"/>
        <v>Zadovoljena</v>
      </c>
      <c r="C240" s="156" t="s">
        <v>1149</v>
      </c>
      <c r="E240" s="115">
        <f t="shared" si="20"/>
        <v>0</v>
      </c>
      <c r="F240" s="114">
        <f>IF(AND(Bil!D227&lt;&gt;0,Bil!D231&lt;&gt;0),1,0)</f>
        <v>0</v>
      </c>
      <c r="G240" s="114">
        <f>IF(AND(Bil!E227&lt;&gt;0,Bil!E231&lt;&gt;0),1,0)</f>
        <v>0</v>
      </c>
      <c r="H240" s="114"/>
      <c r="I240" s="114"/>
      <c r="J240" s="114"/>
      <c r="K240" s="114"/>
    </row>
    <row r="241" spans="1:14" customFormat="1" ht="20.100000000000001" customHeight="1" x14ac:dyDescent="0.25">
      <c r="A241" s="83">
        <f t="shared" si="25"/>
        <v>233</v>
      </c>
      <c r="B241" s="155" t="str">
        <f t="shared" si="24"/>
        <v>Zadovoljena</v>
      </c>
      <c r="C241" s="156" t="s">
        <v>1150</v>
      </c>
      <c r="D241" s="6"/>
      <c r="E241" s="115">
        <f>MAX(F241:I241)</f>
        <v>0</v>
      </c>
      <c r="F241" s="114">
        <f>IF(AND(Bil!D228&lt;&gt;0,Bil!D232&lt;&gt;0),1,0)</f>
        <v>0</v>
      </c>
      <c r="G241" s="114">
        <f>IF(AND(Bil!E228&lt;&gt;0,Bil!E232&lt;&gt;0),1,0)</f>
        <v>0</v>
      </c>
      <c r="H241" s="54"/>
      <c r="I241" s="54"/>
      <c r="J241" s="54"/>
      <c r="K241" s="54"/>
      <c r="L241" s="6"/>
      <c r="M241" s="6"/>
      <c r="N241" s="6"/>
    </row>
    <row r="242" spans="1:14" ht="30" customHeight="1" x14ac:dyDescent="0.25">
      <c r="A242" s="83">
        <f t="shared" si="25"/>
        <v>234</v>
      </c>
      <c r="B242" s="155" t="str">
        <f t="shared" si="24"/>
        <v>Zadovoljena</v>
      </c>
      <c r="C242" s="156" t="s">
        <v>3739</v>
      </c>
      <c r="D242" s="6"/>
      <c r="E242" s="115">
        <f>MAX(F242:I242)</f>
        <v>0</v>
      </c>
      <c r="F242" s="54">
        <f>IF(MIN(Bil!D12:E215,Bil!D218:E238,Bil!D240:E274,Bil!D276:E283,Bil!D285:E289)&lt;0,1,0)</f>
        <v>0</v>
      </c>
    </row>
    <row r="243" spans="1:14" ht="30" customHeight="1" x14ac:dyDescent="0.25">
      <c r="A243" s="83">
        <f t="shared" si="25"/>
        <v>235</v>
      </c>
      <c r="B243" s="155" t="str">
        <f t="shared" si="24"/>
        <v>Zadovoljena</v>
      </c>
      <c r="C243" s="156" t="s">
        <v>3740</v>
      </c>
      <c r="D243" s="6"/>
      <c r="E243" s="115">
        <f>MAX(F243:I243)</f>
        <v>0</v>
      </c>
      <c r="F243" s="54">
        <f>IF(SUM(Skriveni!H1481:H1755)&lt;&gt;0,1,0)</f>
        <v>0</v>
      </c>
    </row>
    <row r="244" spans="1:14" ht="20.100000000000001" customHeight="1" x14ac:dyDescent="0.25">
      <c r="A244" s="83">
        <f t="shared" si="25"/>
        <v>236</v>
      </c>
      <c r="B244" s="155" t="str">
        <f t="shared" ref="B244:B249" si="26">IF(E244=1,"Nije zadovoljena", "Zadovoljena")</f>
        <v>Zadovoljena</v>
      </c>
      <c r="C244" s="156" t="s">
        <v>1170</v>
      </c>
      <c r="D244" s="6"/>
      <c r="E244" s="115">
        <f t="shared" ref="E244:E249" si="27">MAX(F244:I244)</f>
        <v>0</v>
      </c>
      <c r="F244" s="54">
        <f>IF(ABS(Bil!D90-Bil!D240-Bil!D241)&gt;1,1,0)</f>
        <v>0</v>
      </c>
      <c r="G244" s="54">
        <f>IF(ABS(Bil!E90-Bil!E240-Bil!E241)&gt;1,1,0)</f>
        <v>0</v>
      </c>
    </row>
    <row r="245" spans="1:14" ht="20.100000000000001" customHeight="1" x14ac:dyDescent="0.25">
      <c r="A245" s="83">
        <f t="shared" si="25"/>
        <v>237</v>
      </c>
      <c r="B245" s="155" t="str">
        <f t="shared" si="26"/>
        <v>Zadovoljena</v>
      </c>
      <c r="C245" s="156" t="s">
        <v>0</v>
      </c>
      <c r="D245" s="6"/>
      <c r="E245" s="115">
        <f t="shared" si="27"/>
        <v>0</v>
      </c>
      <c r="F245" s="54">
        <f>IF(ABS(Bil!D94-Bil!D242-Bil!D243)&gt;1,1,0)</f>
        <v>0</v>
      </c>
      <c r="G245" s="54">
        <f>IF(ABS(Bil!E94-Bil!E242-Bil!E243)&gt;1,1,0)</f>
        <v>0</v>
      </c>
    </row>
    <row r="246" spans="1:14" ht="20.100000000000001" customHeight="1" x14ac:dyDescent="0.25">
      <c r="A246" s="83">
        <f t="shared" si="25"/>
        <v>238</v>
      </c>
      <c r="B246" s="155" t="str">
        <f t="shared" si="26"/>
        <v>Zadovoljena</v>
      </c>
      <c r="C246" s="156" t="s">
        <v>1</v>
      </c>
      <c r="D246" s="6"/>
      <c r="E246" s="115">
        <f t="shared" si="27"/>
        <v>0</v>
      </c>
      <c r="F246" s="54">
        <f>IF(ABS(Bil!D95-Bil!D244-Bil!D245)&gt;1,1,0)</f>
        <v>0</v>
      </c>
      <c r="G246" s="54">
        <f>IF(ABS(Bil!E95-Bil!E244-Bil!E245)&gt;1,1,0)</f>
        <v>0</v>
      </c>
    </row>
    <row r="247" spans="1:14" ht="20.100000000000001" customHeight="1" x14ac:dyDescent="0.25">
      <c r="A247" s="83">
        <f t="shared" si="25"/>
        <v>239</v>
      </c>
      <c r="B247" s="155" t="str">
        <f t="shared" si="26"/>
        <v>Zadovoljena</v>
      </c>
      <c r="C247" s="156" t="s">
        <v>2</v>
      </c>
      <c r="D247" s="6"/>
      <c r="E247" s="115">
        <f t="shared" si="27"/>
        <v>0</v>
      </c>
      <c r="F247" s="54">
        <f>IF(ABS(Bil!D96-Bil!D246-Bil!D247)&gt;1,1,0)</f>
        <v>0</v>
      </c>
      <c r="G247" s="54">
        <f>IF(ABS(Bil!E96-Bil!E246-Bil!E247)&gt;1,1,0)</f>
        <v>0</v>
      </c>
    </row>
    <row r="248" spans="1:14" ht="20.100000000000001" customHeight="1" x14ac:dyDescent="0.25">
      <c r="A248" s="83">
        <f t="shared" si="25"/>
        <v>240</v>
      </c>
      <c r="B248" s="155" t="str">
        <f t="shared" si="26"/>
        <v>Zadovoljena</v>
      </c>
      <c r="C248" s="156" t="s">
        <v>3</v>
      </c>
      <c r="D248" s="6"/>
      <c r="E248" s="115">
        <f t="shared" si="27"/>
        <v>0</v>
      </c>
      <c r="F248" s="54">
        <f>IF(ABS(Bil!D97-Bil!D248-Bil!D249)&gt;1,1,0)</f>
        <v>0</v>
      </c>
      <c r="G248" s="54">
        <f>IF(ABS(Bil!E97-Bil!E248-Bil!E249)&gt;1,1,0)</f>
        <v>0</v>
      </c>
    </row>
    <row r="249" spans="1:14" ht="20.100000000000001" customHeight="1" x14ac:dyDescent="0.25">
      <c r="A249" s="83">
        <f t="shared" si="25"/>
        <v>241</v>
      </c>
      <c r="B249" s="155" t="str">
        <f t="shared" si="26"/>
        <v>Zadovoljena</v>
      </c>
      <c r="C249" s="156" t="s">
        <v>4</v>
      </c>
      <c r="D249" s="6"/>
      <c r="E249" s="115">
        <f t="shared" si="27"/>
        <v>0</v>
      </c>
      <c r="F249" s="54">
        <f>IF(ABS(Bil!D98-Bil!D250-Bil!D251)&gt;1,1,0)</f>
        <v>0</v>
      </c>
      <c r="G249" s="54">
        <f>IF(ABS(Bil!E98-Bil!E250-Bil!E251)&gt;1,1,0)</f>
        <v>0</v>
      </c>
    </row>
    <row r="250" spans="1:14" ht="20.100000000000001" customHeight="1" x14ac:dyDescent="0.25">
      <c r="A250" s="83">
        <f t="shared" si="25"/>
        <v>242</v>
      </c>
      <c r="B250" s="155" t="str">
        <f t="shared" si="24"/>
        <v>Zadovoljena</v>
      </c>
      <c r="C250" s="156" t="s">
        <v>5</v>
      </c>
      <c r="D250" s="6"/>
      <c r="E250" s="115">
        <f t="shared" ref="E250:E260" si="28">MAX(F250:I250)</f>
        <v>0</v>
      </c>
      <c r="F250" s="54">
        <f>IF(ABS(Bil!D99-Bil!D252-Bil!D253)&gt;1,1,0)</f>
        <v>0</v>
      </c>
      <c r="G250" s="54">
        <f>IF(ABS(Bil!E99-Bil!E252-Bil!E253)&gt;1,1,0)</f>
        <v>0</v>
      </c>
    </row>
    <row r="251" spans="1:14" ht="20.100000000000001" customHeight="1" x14ac:dyDescent="0.25">
      <c r="A251" s="83">
        <f t="shared" si="25"/>
        <v>243</v>
      </c>
      <c r="B251" s="155" t="str">
        <f t="shared" si="24"/>
        <v>Zadovoljena</v>
      </c>
      <c r="C251" s="156" t="s">
        <v>6</v>
      </c>
      <c r="D251" s="6"/>
      <c r="E251" s="115">
        <f t="shared" si="28"/>
        <v>0</v>
      </c>
      <c r="F251" s="54">
        <f>IF(ABS(Bil!D100-Bil!D254-Bil!D255)&gt;1,1,0)</f>
        <v>0</v>
      </c>
      <c r="G251" s="54">
        <f>IF(ABS(Bil!E100-Bil!E254-Bil!E255)&gt;1,1,0)</f>
        <v>0</v>
      </c>
    </row>
    <row r="252" spans="1:14" ht="20.100000000000001" customHeight="1" x14ac:dyDescent="0.25">
      <c r="A252" s="83">
        <f t="shared" si="25"/>
        <v>244</v>
      </c>
      <c r="B252" s="155" t="str">
        <f t="shared" ref="B252:B257" si="29">IF(E252=1,"Nije zadovoljena", "Zadovoljena")</f>
        <v>Zadovoljena</v>
      </c>
      <c r="C252" s="156" t="s">
        <v>7</v>
      </c>
      <c r="D252" s="6"/>
      <c r="E252" s="115">
        <f t="shared" si="28"/>
        <v>0</v>
      </c>
      <c r="F252" s="54">
        <f>IF(ABS(Bil!D101-Bil!D256-Bil!D257)&gt;1,1,0)</f>
        <v>0</v>
      </c>
      <c r="G252" s="54">
        <f>IF(ABS(Bil!E101-Bil!E256-Bil!E257)&gt;1,1,0)</f>
        <v>0</v>
      </c>
    </row>
    <row r="253" spans="1:14" ht="20.100000000000001" customHeight="1" x14ac:dyDescent="0.25">
      <c r="A253" s="83">
        <f t="shared" si="25"/>
        <v>245</v>
      </c>
      <c r="B253" s="155" t="str">
        <f t="shared" si="29"/>
        <v>Zadovoljena</v>
      </c>
      <c r="C253" s="156" t="s">
        <v>8</v>
      </c>
      <c r="D253" s="6"/>
      <c r="E253" s="115">
        <f t="shared" si="28"/>
        <v>0</v>
      </c>
      <c r="F253" s="54">
        <f>IF(ABS(Bil!D102-Bil!D258-Bil!D259)&gt;1,1,0)</f>
        <v>0</v>
      </c>
      <c r="G253" s="54">
        <f>IF(ABS(Bil!E102-Bil!E258-Bil!E259)&gt;1,1,0)</f>
        <v>0</v>
      </c>
    </row>
    <row r="254" spans="1:14" ht="20.100000000000001" customHeight="1" x14ac:dyDescent="0.25">
      <c r="A254" s="83">
        <f t="shared" si="25"/>
        <v>246</v>
      </c>
      <c r="B254" s="155" t="str">
        <f t="shared" si="29"/>
        <v>Zadovoljena</v>
      </c>
      <c r="C254" s="156" t="s">
        <v>9</v>
      </c>
      <c r="D254" s="6"/>
      <c r="E254" s="115">
        <f t="shared" si="28"/>
        <v>0</v>
      </c>
      <c r="F254" s="54">
        <f>IF(ABS(Bil!D196-Bil!D260-Bil!D261)&gt;1,1,0)</f>
        <v>0</v>
      </c>
      <c r="G254" s="54">
        <f>IF(ABS(Bil!E196-Bil!E260-Bil!E261)&gt;1,1,0)</f>
        <v>0</v>
      </c>
    </row>
    <row r="255" spans="1:14" ht="20.100000000000001" customHeight="1" x14ac:dyDescent="0.25">
      <c r="A255" s="83">
        <f t="shared" si="25"/>
        <v>247</v>
      </c>
      <c r="B255" s="155" t="str">
        <f t="shared" si="29"/>
        <v>Zadovoljena</v>
      </c>
      <c r="C255" s="156" t="s">
        <v>10</v>
      </c>
      <c r="D255" s="6"/>
      <c r="E255" s="115">
        <f t="shared" si="28"/>
        <v>0</v>
      </c>
      <c r="F255" s="54">
        <f>IF(ABS(Bil!D197-Bil!D262-Bil!D263)&gt;1,1,0)</f>
        <v>0</v>
      </c>
      <c r="G255" s="54">
        <f>IF(ABS(Bil!E197-Bil!E262-Bil!E263)&gt;1,1,0)</f>
        <v>0</v>
      </c>
    </row>
    <row r="256" spans="1:14" ht="20.100000000000001" customHeight="1" x14ac:dyDescent="0.25">
      <c r="A256" s="83">
        <f t="shared" si="25"/>
        <v>248</v>
      </c>
      <c r="B256" s="155" t="str">
        <f t="shared" si="29"/>
        <v>Zadovoljena</v>
      </c>
      <c r="C256" s="156" t="s">
        <v>11</v>
      </c>
      <c r="D256" s="6"/>
      <c r="E256" s="115">
        <f t="shared" si="28"/>
        <v>0</v>
      </c>
      <c r="F256" s="54">
        <f>IF(ABS(Bil!D198-Bil!D264-Bil!D265)&gt;1,1,0)</f>
        <v>0</v>
      </c>
      <c r="G256" s="54">
        <f>IF(ABS(Bil!E198-Bil!E264-Bil!E265)&gt;1,1,0)</f>
        <v>0</v>
      </c>
    </row>
    <row r="257" spans="1:11" ht="20.100000000000001" customHeight="1" x14ac:dyDescent="0.25">
      <c r="A257" s="83">
        <f t="shared" si="25"/>
        <v>249</v>
      </c>
      <c r="B257" s="155" t="str">
        <f t="shared" si="29"/>
        <v>Zadovoljena</v>
      </c>
      <c r="C257" s="156" t="s">
        <v>12</v>
      </c>
      <c r="D257" s="6"/>
      <c r="E257" s="115">
        <f t="shared" si="28"/>
        <v>0</v>
      </c>
      <c r="F257" s="54">
        <f>IF(ABS(Bil!D199-Bil!D266-Bil!D267)&gt;1,1,0)</f>
        <v>0</v>
      </c>
      <c r="G257" s="54">
        <f>IF(ABS(Bil!E199-Bil!E266-Bil!E267)&gt;1,1,0)</f>
        <v>0</v>
      </c>
    </row>
    <row r="258" spans="1:11" ht="20.100000000000001" customHeight="1" x14ac:dyDescent="0.25">
      <c r="A258" s="83">
        <f t="shared" si="25"/>
        <v>250</v>
      </c>
      <c r="B258" s="155" t="str">
        <f t="shared" si="24"/>
        <v>Zadovoljena</v>
      </c>
      <c r="C258" s="156" t="s">
        <v>13</v>
      </c>
      <c r="D258" s="6"/>
      <c r="E258" s="115">
        <f t="shared" si="28"/>
        <v>0</v>
      </c>
      <c r="F258" s="54">
        <f>IF(ABS(Bil!D200-Bil!D268-Bil!D269)&gt;1,1,0)</f>
        <v>0</v>
      </c>
      <c r="G258" s="54">
        <f>IF(ABS(Bil!E200-Bil!E268-Bil!E269)&gt;1,1,0)</f>
        <v>0</v>
      </c>
    </row>
    <row r="259" spans="1:11" ht="20.100000000000001" customHeight="1" x14ac:dyDescent="0.25">
      <c r="A259" s="83">
        <f t="shared" si="25"/>
        <v>251</v>
      </c>
      <c r="B259" s="155" t="str">
        <f t="shared" si="24"/>
        <v>Zadovoljena</v>
      </c>
      <c r="C259" s="156" t="s">
        <v>14</v>
      </c>
      <c r="D259" s="6"/>
      <c r="E259" s="115">
        <f t="shared" si="28"/>
        <v>0</v>
      </c>
      <c r="F259" s="54">
        <f>IF(ABS(Bil!D201-Bil!D270-Bil!D271)&gt;1,1,0)</f>
        <v>0</v>
      </c>
      <c r="G259" s="54">
        <f>IF(ABS(Bil!E201-Bil!E270-Bil!E271)&gt;1,1,0)</f>
        <v>0</v>
      </c>
    </row>
    <row r="260" spans="1:11" ht="20.100000000000001" customHeight="1" x14ac:dyDescent="0.25">
      <c r="A260" s="84">
        <f>1+A259</f>
        <v>252</v>
      </c>
      <c r="B260" s="157" t="str">
        <f t="shared" si="24"/>
        <v>Zadovoljena</v>
      </c>
      <c r="C260" s="156" t="s">
        <v>15</v>
      </c>
      <c r="D260" s="6"/>
      <c r="E260" s="115">
        <f t="shared" si="28"/>
        <v>0</v>
      </c>
      <c r="F260" s="54">
        <f>IF(ABS(Bil!D202-Bil!D272-Bil!D273)&gt;1,1,0)</f>
        <v>0</v>
      </c>
      <c r="G260" s="54">
        <f>IF(ABS(Bil!E202-Bil!E272-Bil!E273)&gt;1,1,0)</f>
        <v>0</v>
      </c>
    </row>
    <row r="261" spans="1:11" ht="20.100000000000001" customHeight="1" x14ac:dyDescent="0.25">
      <c r="A261" s="601" t="s">
        <v>2781</v>
      </c>
      <c r="B261" s="602"/>
      <c r="C261" s="603"/>
      <c r="E261" s="115">
        <f>SUM(E262:E264)</f>
        <v>0</v>
      </c>
    </row>
    <row r="262" spans="1:11" customFormat="1" ht="30" customHeight="1" x14ac:dyDescent="0.25">
      <c r="A262" s="82">
        <f>A260+1</f>
        <v>253</v>
      </c>
      <c r="B262" s="153" t="str">
        <f>IF(E262=1,"Nije zadovoljena", "Zadovoljena")</f>
        <v>Zadovoljena</v>
      </c>
      <c r="C262" s="159" t="s">
        <v>1952</v>
      </c>
      <c r="E262" s="115">
        <f>MAX(F262:I262)</f>
        <v>0</v>
      </c>
      <c r="F262" s="114">
        <f>IF(SUM(Skriveni!H1756:H1849)=0,0, 1)</f>
        <v>0</v>
      </c>
      <c r="G262" s="114"/>
      <c r="H262" s="114"/>
      <c r="I262" s="114"/>
      <c r="J262" s="114"/>
      <c r="K262" s="114"/>
    </row>
    <row r="263" spans="1:11" customFormat="1" ht="30" customHeight="1" x14ac:dyDescent="0.25">
      <c r="A263" s="83">
        <f>A262+1</f>
        <v>254</v>
      </c>
      <c r="B263" s="155" t="str">
        <f>IF(E263=1,"Nije zadovoljena", "Zadovoljena")</f>
        <v>Zadovoljena</v>
      </c>
      <c r="C263" s="156" t="s">
        <v>1953</v>
      </c>
      <c r="E263" s="115">
        <f>MAX(F263:I263)</f>
        <v>0</v>
      </c>
      <c r="F263" s="114">
        <f>IF(MIN(Skriveni!C1756:C1849)&lt;0,1, 0)</f>
        <v>0</v>
      </c>
      <c r="G263" s="114"/>
      <c r="H263" s="114"/>
      <c r="I263" s="114"/>
      <c r="J263" s="114"/>
      <c r="K263" s="114"/>
    </row>
    <row r="264" spans="1:11" customFormat="1" ht="42" customHeight="1" x14ac:dyDescent="0.25">
      <c r="A264" s="84">
        <f>A263+1</f>
        <v>255</v>
      </c>
      <c r="B264" s="157" t="str">
        <f>IF(E264=1,"Nije zadovoljena", "Zadovoljena")</f>
        <v>Zadovoljena</v>
      </c>
      <c r="C264" s="158" t="s">
        <v>905</v>
      </c>
      <c r="E264" s="114">
        <f>MAX(F264:G264)</f>
        <v>0</v>
      </c>
      <c r="F264" s="114">
        <f>IF(ABS(Obv!D47-Obv!D48-Obv!D101)&gt;1,1,0)</f>
        <v>0</v>
      </c>
      <c r="G264" s="114"/>
      <c r="H264" s="114"/>
      <c r="I264" s="114"/>
      <c r="J264" s="114"/>
      <c r="K264" s="114"/>
    </row>
    <row r="265" spans="1:11" ht="20.100000000000001" customHeight="1" x14ac:dyDescent="0.25">
      <c r="A265" s="601" t="s">
        <v>2782</v>
      </c>
      <c r="B265" s="602"/>
      <c r="C265" s="603"/>
      <c r="E265" s="115">
        <f>SUM(E266:E269)</f>
        <v>0</v>
      </c>
    </row>
    <row r="266" spans="1:11" customFormat="1" ht="30" customHeight="1" x14ac:dyDescent="0.25">
      <c r="A266" s="82">
        <f>A264+1</f>
        <v>256</v>
      </c>
      <c r="B266" s="153" t="str">
        <f>IF(E266=1,"Nije zadovoljena", "Zadovoljena")</f>
        <v>Zadovoljena</v>
      </c>
      <c r="C266" s="159" t="s">
        <v>1952</v>
      </c>
      <c r="E266" s="115">
        <f>MAX(F266:I266)</f>
        <v>0</v>
      </c>
      <c r="F266" s="114">
        <f>IF(SUM(Skriveni!H1437:H1755)=0,0, 1)</f>
        <v>0</v>
      </c>
      <c r="G266" s="114"/>
      <c r="H266" s="114"/>
      <c r="I266" s="114"/>
      <c r="J266" s="114"/>
      <c r="K266" s="114"/>
    </row>
    <row r="267" spans="1:11" customFormat="1" ht="30" customHeight="1" x14ac:dyDescent="0.25">
      <c r="A267" s="83">
        <f>A266+1</f>
        <v>257</v>
      </c>
      <c r="B267" s="155" t="str">
        <f>IF(E267=1,"Nije zadovoljena", "Zadovoljena")</f>
        <v>Zadovoljena</v>
      </c>
      <c r="C267" s="156" t="s">
        <v>1953</v>
      </c>
      <c r="E267" s="115">
        <f>MAX(F267:I267)</f>
        <v>0</v>
      </c>
      <c r="F267" s="114">
        <f>IF(MIN(Skriveni!H1437:H1755)&lt;0,1, 0)</f>
        <v>0</v>
      </c>
      <c r="G267" s="114"/>
      <c r="H267" s="114"/>
      <c r="I267" s="114"/>
      <c r="J267" s="114"/>
      <c r="K267" s="114"/>
    </row>
    <row r="268" spans="1:11" customFormat="1" ht="30" customHeight="1" x14ac:dyDescent="0.25">
      <c r="A268" s="83">
        <f>A267+1</f>
        <v>258</v>
      </c>
      <c r="B268" s="155" t="str">
        <f>IF(E268=1,"Nije zadovoljena", "Zadovoljena")</f>
        <v>Zadovoljena</v>
      </c>
      <c r="C268" s="156" t="s">
        <v>4238</v>
      </c>
      <c r="E268" s="115">
        <f>MAX(F268:I268)</f>
        <v>0</v>
      </c>
      <c r="F268" s="114">
        <f>IF(SUM(Skriveni!I1437:I1480)&gt;0,1, 0)</f>
        <v>0</v>
      </c>
      <c r="G268" s="114"/>
      <c r="H268" s="114"/>
      <c r="I268" s="114"/>
      <c r="J268" s="114"/>
      <c r="K268" s="114"/>
    </row>
    <row r="269" spans="1:11" customFormat="1" ht="63.75" customHeight="1" x14ac:dyDescent="0.25">
      <c r="A269" s="83">
        <f>A268+1</f>
        <v>259</v>
      </c>
      <c r="B269" s="157" t="str">
        <f>IF(E269=1,"Nije zadovoljena", "Zadovoljena")</f>
        <v>Zadovoljena</v>
      </c>
      <c r="C269" s="158" t="s">
        <v>2924</v>
      </c>
      <c r="E269" s="115">
        <f>MAX(F269:I269)</f>
        <v>0</v>
      </c>
      <c r="F269" s="114">
        <f>IF(AND(MAX(Skriveni!C1437:C1755)&gt;0,RefStr!B31&lt;&gt;"DA"),1,0)</f>
        <v>0</v>
      </c>
      <c r="G269" s="147"/>
      <c r="H269" s="114"/>
      <c r="I269" s="114"/>
      <c r="J269" s="114"/>
      <c r="K269" s="114"/>
    </row>
    <row r="270" spans="1:11" ht="20.100000000000001" customHeight="1" x14ac:dyDescent="0.25">
      <c r="A270" s="594" t="s">
        <v>2200</v>
      </c>
      <c r="B270" s="595"/>
      <c r="C270" s="596"/>
      <c r="E270" s="115">
        <f>SUM(E271:E297)</f>
        <v>0</v>
      </c>
    </row>
    <row r="271" spans="1:11" customFormat="1" ht="30" customHeight="1" x14ac:dyDescent="0.25">
      <c r="A271" s="82">
        <f>A269+1</f>
        <v>260</v>
      </c>
      <c r="B271" s="153" t="str">
        <f t="shared" ref="B271:B297" si="30">IF(E271=1,"Nije zadovoljena", "Zadovoljena")</f>
        <v>Zadovoljena</v>
      </c>
      <c r="C271" s="159" t="s">
        <v>1952</v>
      </c>
      <c r="E271" s="114">
        <f>MAX(F271:I271)</f>
        <v>0</v>
      </c>
      <c r="F271" s="114">
        <f>IF(SUM(Skriveni!H901:H1299)&lt;&gt;0,1,0)</f>
        <v>0</v>
      </c>
      <c r="G271" s="114"/>
      <c r="H271" s="114"/>
      <c r="I271" s="114"/>
      <c r="J271" s="114"/>
      <c r="K271" s="114"/>
    </row>
    <row r="272" spans="1:11" customFormat="1" ht="30" customHeight="1" x14ac:dyDescent="0.25">
      <c r="A272" s="83">
        <f>A271+1</f>
        <v>261</v>
      </c>
      <c r="B272" s="155" t="str">
        <f t="shared" si="30"/>
        <v>Zadovoljena</v>
      </c>
      <c r="C272" s="156" t="s">
        <v>3518</v>
      </c>
      <c r="E272" s="114">
        <f t="shared" ref="E272:E297" si="31">MAX(F272:I272)</f>
        <v>0</v>
      </c>
      <c r="F272" s="114">
        <f>IF(ABS(NT!D240-NT!D239-NT!D237+NT!D238)&gt;1,1,0)</f>
        <v>0</v>
      </c>
      <c r="G272" s="114"/>
      <c r="H272" s="114"/>
      <c r="I272" s="114"/>
      <c r="J272" s="114"/>
      <c r="K272" s="114"/>
    </row>
    <row r="273" spans="1:11" customFormat="1" ht="30" customHeight="1" x14ac:dyDescent="0.25">
      <c r="A273" s="83">
        <f t="shared" ref="A273:A297" si="32">A272+1</f>
        <v>262</v>
      </c>
      <c r="B273" s="155" t="str">
        <f t="shared" si="30"/>
        <v>Zadovoljena</v>
      </c>
      <c r="C273" s="156" t="s">
        <v>1953</v>
      </c>
      <c r="E273" s="114">
        <f t="shared" si="31"/>
        <v>0</v>
      </c>
      <c r="F273" s="114">
        <f>IF(MIN(Skriveni!C901:C1299)&lt;0,1,0)</f>
        <v>0</v>
      </c>
      <c r="G273" s="114"/>
      <c r="H273" s="114"/>
      <c r="I273" s="114"/>
      <c r="J273" s="114"/>
      <c r="K273" s="114"/>
    </row>
    <row r="274" spans="1:11" customFormat="1" ht="30" customHeight="1" x14ac:dyDescent="0.25">
      <c r="A274" s="83">
        <f t="shared" si="32"/>
        <v>263</v>
      </c>
      <c r="B274" s="155" t="str">
        <f t="shared" si="30"/>
        <v>Zadovoljena</v>
      </c>
      <c r="C274" s="156" t="s">
        <v>597</v>
      </c>
      <c r="E274" s="114">
        <f t="shared" si="31"/>
        <v>0</v>
      </c>
      <c r="F274" s="114">
        <f>IF(NT!D244&gt;NT!D13,1,0)</f>
        <v>0</v>
      </c>
      <c r="G274" s="114"/>
      <c r="H274" s="114"/>
      <c r="I274" s="114"/>
      <c r="J274" s="114"/>
      <c r="K274" s="114"/>
    </row>
    <row r="275" spans="1:11" customFormat="1" ht="30" customHeight="1" x14ac:dyDescent="0.25">
      <c r="A275" s="83">
        <f t="shared" si="32"/>
        <v>264</v>
      </c>
      <c r="B275" s="155" t="str">
        <f t="shared" si="30"/>
        <v>Zadovoljena</v>
      </c>
      <c r="C275" s="156" t="s">
        <v>606</v>
      </c>
      <c r="E275" s="114">
        <f t="shared" si="31"/>
        <v>0</v>
      </c>
      <c r="F275" s="114">
        <f>IF(ABS(NT!D15-SUM(NT!D245:D272))&gt;1,1,0)</f>
        <v>0</v>
      </c>
      <c r="G275" s="114"/>
      <c r="H275" s="114"/>
      <c r="I275" s="114"/>
      <c r="J275" s="114"/>
      <c r="K275" s="114"/>
    </row>
    <row r="276" spans="1:11" customFormat="1" ht="30" customHeight="1" x14ac:dyDescent="0.25">
      <c r="A276" s="83">
        <f t="shared" si="32"/>
        <v>265</v>
      </c>
      <c r="B276" s="155" t="str">
        <f t="shared" si="30"/>
        <v>Zadovoljena</v>
      </c>
      <c r="C276" s="156" t="s">
        <v>3434</v>
      </c>
      <c r="E276" s="114">
        <f t="shared" si="31"/>
        <v>0</v>
      </c>
      <c r="F276" s="114">
        <f>IF(NT!D16-SUM(NT!D273:D279)&lt;0,1,0)</f>
        <v>0</v>
      </c>
      <c r="G276" s="114"/>
      <c r="H276" s="114"/>
      <c r="I276" s="114"/>
      <c r="J276" s="114"/>
      <c r="K276" s="114"/>
    </row>
    <row r="277" spans="1:11" customFormat="1" ht="30" customHeight="1" x14ac:dyDescent="0.25">
      <c r="A277" s="83">
        <f t="shared" si="32"/>
        <v>266</v>
      </c>
      <c r="B277" s="155" t="str">
        <f t="shared" ref="B277:B282" si="33">IF(E277=1,"Nije zadovoljena", "Zadovoljena")</f>
        <v>Zadovoljena</v>
      </c>
      <c r="C277" s="156" t="s">
        <v>598</v>
      </c>
      <c r="E277" s="114">
        <f t="shared" si="31"/>
        <v>0</v>
      </c>
      <c r="F277" s="114">
        <f>IF(NT!D29-NT!D281-NT!D282&lt;0,1,0)</f>
        <v>0</v>
      </c>
      <c r="G277" s="114"/>
      <c r="H277" s="114"/>
      <c r="I277" s="114"/>
      <c r="J277" s="114"/>
      <c r="K277" s="114"/>
    </row>
    <row r="278" spans="1:11" customFormat="1" ht="30" customHeight="1" x14ac:dyDescent="0.25">
      <c r="A278" s="83">
        <f t="shared" si="32"/>
        <v>267</v>
      </c>
      <c r="B278" s="155" t="str">
        <f t="shared" si="33"/>
        <v>Zadovoljena</v>
      </c>
      <c r="C278" s="156" t="s">
        <v>607</v>
      </c>
      <c r="E278" s="114">
        <f t="shared" si="31"/>
        <v>0</v>
      </c>
      <c r="F278" s="114">
        <f>IF(NT!D283&gt;NT!D37,1,0)</f>
        <v>0</v>
      </c>
      <c r="G278" s="114"/>
      <c r="H278" s="114"/>
      <c r="I278" s="114"/>
      <c r="J278" s="114"/>
      <c r="K278" s="114"/>
    </row>
    <row r="279" spans="1:11" customFormat="1" ht="30" customHeight="1" x14ac:dyDescent="0.25">
      <c r="A279" s="83">
        <f t="shared" si="32"/>
        <v>268</v>
      </c>
      <c r="B279" s="155" t="str">
        <f t="shared" si="33"/>
        <v>Zadovoljena</v>
      </c>
      <c r="C279" s="156" t="s">
        <v>599</v>
      </c>
      <c r="E279" s="114">
        <f t="shared" si="31"/>
        <v>0</v>
      </c>
      <c r="F279" s="114">
        <f>IF(ABS(NT!D71-NT!D284-NT!D285)&gt;1,1,0)</f>
        <v>0</v>
      </c>
      <c r="G279" s="114"/>
      <c r="H279" s="114"/>
      <c r="I279" s="114"/>
      <c r="J279" s="114"/>
      <c r="K279" s="114"/>
    </row>
    <row r="280" spans="1:11" customFormat="1" ht="30" customHeight="1" x14ac:dyDescent="0.25">
      <c r="A280" s="83">
        <f t="shared" si="32"/>
        <v>269</v>
      </c>
      <c r="B280" s="155" t="str">
        <f t="shared" si="33"/>
        <v>Zadovoljena</v>
      </c>
      <c r="C280" s="156" t="s">
        <v>608</v>
      </c>
      <c r="E280" s="114">
        <f t="shared" si="31"/>
        <v>0</v>
      </c>
      <c r="F280" s="114">
        <f>IF(ABS(NT!D74-SUM(NT!D286:D289))&gt;1,1,0)</f>
        <v>0</v>
      </c>
      <c r="G280" s="114"/>
      <c r="H280" s="114"/>
      <c r="I280" s="114"/>
      <c r="J280" s="114"/>
      <c r="K280" s="114"/>
    </row>
    <row r="281" spans="1:11" customFormat="1" ht="30" customHeight="1" x14ac:dyDescent="0.25">
      <c r="A281" s="83">
        <f t="shared" si="32"/>
        <v>270</v>
      </c>
      <c r="B281" s="155" t="str">
        <f t="shared" si="33"/>
        <v>Zadovoljena</v>
      </c>
      <c r="C281" s="156" t="s">
        <v>609</v>
      </c>
      <c r="E281" s="114">
        <f t="shared" si="31"/>
        <v>0</v>
      </c>
      <c r="F281" s="114">
        <f>IF(ABS(NT!D76-SUM(NT!D290:D295))&gt;1,1,0)</f>
        <v>0</v>
      </c>
      <c r="G281" s="114"/>
      <c r="H281" s="114"/>
      <c r="I281" s="114"/>
      <c r="J281" s="114"/>
      <c r="K281" s="114"/>
    </row>
    <row r="282" spans="1:11" customFormat="1" ht="30" customHeight="1" x14ac:dyDescent="0.25">
      <c r="A282" s="83">
        <f t="shared" si="32"/>
        <v>271</v>
      </c>
      <c r="B282" s="155" t="str">
        <f t="shared" si="33"/>
        <v>Zadovoljena</v>
      </c>
      <c r="C282" s="156" t="s">
        <v>2921</v>
      </c>
      <c r="E282" s="114">
        <f t="shared" si="31"/>
        <v>0</v>
      </c>
      <c r="F282" s="114">
        <f>IF(NT!D79&lt;SUM(NT!D296:D298),1,0)</f>
        <v>0</v>
      </c>
      <c r="G282" s="114"/>
      <c r="H282" s="114"/>
      <c r="I282" s="114"/>
      <c r="J282" s="114"/>
      <c r="K282" s="114"/>
    </row>
    <row r="283" spans="1:11" customFormat="1" ht="30" customHeight="1" x14ac:dyDescent="0.25">
      <c r="A283" s="83">
        <f t="shared" si="32"/>
        <v>272</v>
      </c>
      <c r="B283" s="155" t="str">
        <f t="shared" si="30"/>
        <v>Zadovoljena</v>
      </c>
      <c r="C283" s="156" t="s">
        <v>610</v>
      </c>
      <c r="E283" s="114">
        <f t="shared" si="31"/>
        <v>0</v>
      </c>
      <c r="F283" s="114">
        <f>IF(ABS(NT!D80-SUM(NT!D299:D305))&gt;1,1,0)</f>
        <v>0</v>
      </c>
      <c r="G283" s="114"/>
      <c r="H283" s="114"/>
      <c r="I283" s="114"/>
      <c r="J283" s="114"/>
      <c r="K283" s="114"/>
    </row>
    <row r="284" spans="1:11" customFormat="1" ht="30" customHeight="1" x14ac:dyDescent="0.25">
      <c r="A284" s="83">
        <f t="shared" si="32"/>
        <v>273</v>
      </c>
      <c r="B284" s="155" t="str">
        <f t="shared" si="30"/>
        <v>Zadovoljena</v>
      </c>
      <c r="C284" s="156" t="s">
        <v>611</v>
      </c>
      <c r="E284" s="114">
        <f t="shared" si="31"/>
        <v>0</v>
      </c>
      <c r="F284" s="114">
        <f>IF(ABS(NT!D93-SUM(NT!D306:D307))&gt;1,1,0)</f>
        <v>0</v>
      </c>
      <c r="G284" s="114"/>
      <c r="H284" s="114"/>
      <c r="I284" s="114"/>
      <c r="J284" s="114"/>
      <c r="K284" s="114"/>
    </row>
    <row r="285" spans="1:11" customFormat="1" ht="30" customHeight="1" x14ac:dyDescent="0.25">
      <c r="A285" s="83">
        <f t="shared" si="32"/>
        <v>274</v>
      </c>
      <c r="B285" s="155" t="str">
        <f t="shared" si="30"/>
        <v>Zadovoljena</v>
      </c>
      <c r="C285" s="156" t="s">
        <v>612</v>
      </c>
      <c r="E285" s="114">
        <f t="shared" si="31"/>
        <v>0</v>
      </c>
      <c r="F285" s="114">
        <f>IF(ABS(NT!D102-SUM(NT!D308:D314))&gt;1,1,0)</f>
        <v>0</v>
      </c>
      <c r="G285" s="114"/>
      <c r="H285" s="114"/>
      <c r="I285" s="114"/>
      <c r="J285" s="114"/>
      <c r="K285" s="114"/>
    </row>
    <row r="286" spans="1:11" customFormat="1" ht="30" customHeight="1" x14ac:dyDescent="0.25">
      <c r="A286" s="83">
        <f t="shared" si="32"/>
        <v>275</v>
      </c>
      <c r="B286" s="155" t="str">
        <f t="shared" si="30"/>
        <v>Zadovoljena</v>
      </c>
      <c r="C286" s="156" t="s">
        <v>613</v>
      </c>
      <c r="E286" s="114">
        <f t="shared" si="31"/>
        <v>0</v>
      </c>
      <c r="F286" s="114">
        <f>IF(ABS(NT!D103-SUM(NT!D315:D321))&gt;1,1,0)</f>
        <v>0</v>
      </c>
      <c r="G286" s="114"/>
      <c r="H286" s="114"/>
      <c r="I286" s="114"/>
      <c r="J286" s="114"/>
      <c r="K286" s="114"/>
    </row>
    <row r="287" spans="1:11" customFormat="1" ht="30" customHeight="1" x14ac:dyDescent="0.25">
      <c r="A287" s="83">
        <f t="shared" si="32"/>
        <v>276</v>
      </c>
      <c r="B287" s="155" t="str">
        <f t="shared" si="30"/>
        <v>Zadovoljena</v>
      </c>
      <c r="C287" s="156" t="s">
        <v>614</v>
      </c>
      <c r="E287" s="114">
        <f t="shared" si="31"/>
        <v>0</v>
      </c>
      <c r="F287" s="114">
        <f>IF(ABS(NT!D104-SUM(NT!D322:D323))&gt;1,1,0)</f>
        <v>0</v>
      </c>
      <c r="G287" s="114"/>
      <c r="H287" s="114"/>
      <c r="I287" s="114"/>
      <c r="J287" s="114"/>
      <c r="K287" s="114"/>
    </row>
    <row r="288" spans="1:11" customFormat="1" ht="30" customHeight="1" x14ac:dyDescent="0.25">
      <c r="A288" s="83">
        <f t="shared" si="32"/>
        <v>277</v>
      </c>
      <c r="B288" s="155" t="str">
        <f t="shared" si="30"/>
        <v>Zadovoljena</v>
      </c>
      <c r="C288" s="156" t="s">
        <v>2919</v>
      </c>
      <c r="E288" s="114">
        <f t="shared" si="31"/>
        <v>0</v>
      </c>
      <c r="F288" s="114">
        <f>IF(ABS(NT!D105-SUM(NT!D324:D325))&gt;1,1,0)</f>
        <v>0</v>
      </c>
      <c r="G288" s="114"/>
      <c r="H288" s="114"/>
      <c r="I288" s="114"/>
      <c r="J288" s="114"/>
      <c r="K288" s="114"/>
    </row>
    <row r="289" spans="1:11" customFormat="1" ht="30" customHeight="1" x14ac:dyDescent="0.25">
      <c r="A289" s="83">
        <f t="shared" si="32"/>
        <v>278</v>
      </c>
      <c r="B289" s="155" t="str">
        <f t="shared" si="30"/>
        <v>Zadovoljena</v>
      </c>
      <c r="C289" s="156" t="s">
        <v>600</v>
      </c>
      <c r="E289" s="114">
        <f t="shared" si="31"/>
        <v>0</v>
      </c>
      <c r="F289" s="114">
        <f>IF(NT!D111&lt;SUM(NT!D326:D327),1,0)</f>
        <v>0</v>
      </c>
      <c r="G289" s="114"/>
      <c r="H289" s="114"/>
      <c r="I289" s="114"/>
      <c r="J289" s="114"/>
      <c r="K289" s="114"/>
    </row>
    <row r="290" spans="1:11" customFormat="1" ht="30" customHeight="1" x14ac:dyDescent="0.25">
      <c r="A290" s="83">
        <f t="shared" si="32"/>
        <v>279</v>
      </c>
      <c r="B290" s="155" t="str">
        <f t="shared" si="30"/>
        <v>Zadovoljena</v>
      </c>
      <c r="C290" s="156" t="s">
        <v>601</v>
      </c>
      <c r="E290" s="114">
        <f t="shared" si="31"/>
        <v>0</v>
      </c>
      <c r="F290" s="114">
        <f>IF(NT!D328&gt;NT!D112,1,0)</f>
        <v>0</v>
      </c>
      <c r="G290" s="114"/>
      <c r="H290" s="114"/>
      <c r="I290" s="114"/>
      <c r="J290" s="114"/>
      <c r="K290" s="114"/>
    </row>
    <row r="291" spans="1:11" customFormat="1" ht="30" customHeight="1" x14ac:dyDescent="0.25">
      <c r="A291" s="83">
        <f t="shared" si="32"/>
        <v>280</v>
      </c>
      <c r="B291" s="155" t="str">
        <f t="shared" si="30"/>
        <v>Zadovoljena</v>
      </c>
      <c r="C291" s="156" t="s">
        <v>1806</v>
      </c>
      <c r="E291" s="114">
        <f t="shared" si="31"/>
        <v>0</v>
      </c>
      <c r="F291" s="114">
        <f>IF(ABS(NT!D126-SUM(NT!D329:D332))&gt;1,1,0)</f>
        <v>0</v>
      </c>
      <c r="G291" s="114"/>
      <c r="H291" s="114"/>
      <c r="I291" s="114"/>
      <c r="J291" s="114"/>
      <c r="K291" s="114"/>
    </row>
    <row r="292" spans="1:11" customFormat="1" ht="30" customHeight="1" x14ac:dyDescent="0.25">
      <c r="A292" s="83">
        <f t="shared" si="32"/>
        <v>281</v>
      </c>
      <c r="B292" s="155" t="str">
        <f t="shared" si="30"/>
        <v>Zadovoljena</v>
      </c>
      <c r="C292" s="156" t="s">
        <v>1807</v>
      </c>
      <c r="E292" s="114">
        <f t="shared" si="31"/>
        <v>0</v>
      </c>
      <c r="F292" s="114">
        <f>IF(ABS(NT!D127-SUM(NT!D333:D336))&gt;1,1,0)</f>
        <v>0</v>
      </c>
      <c r="G292" s="114"/>
      <c r="H292" s="114"/>
      <c r="I292" s="114"/>
      <c r="J292" s="114"/>
      <c r="K292" s="114"/>
    </row>
    <row r="293" spans="1:11" customFormat="1" ht="30" customHeight="1" x14ac:dyDescent="0.25">
      <c r="A293" s="83">
        <f t="shared" si="32"/>
        <v>282</v>
      </c>
      <c r="B293" s="155" t="str">
        <f t="shared" si="30"/>
        <v>Zadovoljena</v>
      </c>
      <c r="C293" s="156" t="s">
        <v>2920</v>
      </c>
      <c r="E293" s="114">
        <f t="shared" si="31"/>
        <v>0</v>
      </c>
      <c r="F293" s="114">
        <f>IF(ABS(NT!D128-SUM(NT!D337:D338))&gt;1,1,0)</f>
        <v>0</v>
      </c>
      <c r="G293" s="114"/>
      <c r="H293" s="114"/>
      <c r="I293" s="114"/>
      <c r="J293" s="114"/>
      <c r="K293" s="114"/>
    </row>
    <row r="294" spans="1:11" customFormat="1" ht="30" customHeight="1" x14ac:dyDescent="0.25">
      <c r="A294" s="83">
        <f t="shared" si="32"/>
        <v>283</v>
      </c>
      <c r="B294" s="155" t="str">
        <f t="shared" si="30"/>
        <v>Zadovoljena</v>
      </c>
      <c r="C294" s="156" t="s">
        <v>602</v>
      </c>
      <c r="E294" s="114">
        <f t="shared" si="31"/>
        <v>0</v>
      </c>
      <c r="F294" s="114">
        <f>IF(NT!D208&lt;SUM(NT!D340:D353),1,0)</f>
        <v>0</v>
      </c>
      <c r="G294" s="114"/>
      <c r="H294" s="114"/>
      <c r="I294" s="114"/>
      <c r="J294" s="114"/>
      <c r="K294" s="114"/>
    </row>
    <row r="295" spans="1:11" customFormat="1" ht="30" customHeight="1" x14ac:dyDescent="0.25">
      <c r="A295" s="83">
        <f t="shared" si="32"/>
        <v>284</v>
      </c>
      <c r="B295" s="155" t="str">
        <f t="shared" si="30"/>
        <v>Zadovoljena</v>
      </c>
      <c r="C295" s="156" t="s">
        <v>603</v>
      </c>
      <c r="E295" s="114">
        <f t="shared" si="31"/>
        <v>0</v>
      </c>
      <c r="F295" s="114">
        <f>IF(NT!D211&lt;SUM(NT!D354:D373),1,0)</f>
        <v>0</v>
      </c>
      <c r="G295" s="114"/>
      <c r="H295" s="114"/>
      <c r="I295" s="114"/>
      <c r="J295" s="114"/>
      <c r="K295" s="114"/>
    </row>
    <row r="296" spans="1:11" customFormat="1" ht="30" customHeight="1" x14ac:dyDescent="0.25">
      <c r="A296" s="83">
        <f t="shared" si="32"/>
        <v>285</v>
      </c>
      <c r="B296" s="155" t="str">
        <f t="shared" si="30"/>
        <v>Zadovoljena</v>
      </c>
      <c r="C296" s="156" t="s">
        <v>604</v>
      </c>
      <c r="E296" s="114">
        <f t="shared" si="31"/>
        <v>0</v>
      </c>
      <c r="F296" s="114">
        <f>IF(NT!D214&lt;SUM(NT!D375:D388),1,0)</f>
        <v>0</v>
      </c>
      <c r="G296" s="114"/>
      <c r="H296" s="114"/>
      <c r="I296" s="114"/>
      <c r="J296" s="114"/>
      <c r="K296" s="114"/>
    </row>
    <row r="297" spans="1:11" customFormat="1" ht="30" customHeight="1" x14ac:dyDescent="0.25">
      <c r="A297" s="83">
        <f t="shared" si="32"/>
        <v>286</v>
      </c>
      <c r="B297" s="155" t="str">
        <f t="shared" si="30"/>
        <v>Zadovoljena</v>
      </c>
      <c r="C297" s="156" t="s">
        <v>605</v>
      </c>
      <c r="E297" s="114">
        <f t="shared" si="31"/>
        <v>0</v>
      </c>
      <c r="F297" s="114">
        <f>IF(NT!D217&lt;SUM(NT!D389:D410),1,0)</f>
        <v>0</v>
      </c>
      <c r="G297" s="114"/>
      <c r="H297" s="114"/>
      <c r="I297" s="114"/>
      <c r="J297" s="114"/>
      <c r="K297" s="114"/>
    </row>
    <row r="298" spans="1:11" ht="20.100000000000001" customHeight="1" x14ac:dyDescent="0.25">
      <c r="A298" s="597" t="s">
        <v>2922</v>
      </c>
      <c r="B298" s="598"/>
      <c r="C298" s="599"/>
      <c r="E298" s="115">
        <f>SUM(E299)</f>
        <v>1</v>
      </c>
    </row>
    <row r="299" spans="1:11" customFormat="1" ht="39" customHeight="1" x14ac:dyDescent="0.25">
      <c r="A299" s="83">
        <f>A297+1</f>
        <v>287</v>
      </c>
      <c r="B299" s="155" t="str">
        <f>IF(E299=1,"Nije zadovoljena", "Zadovoljena")</f>
        <v>Nije zadovoljena</v>
      </c>
      <c r="C299" s="156" t="s">
        <v>2923</v>
      </c>
      <c r="E299" s="114">
        <f>MAX(F299:H299)</f>
        <v>1</v>
      </c>
      <c r="F299" s="114">
        <f>IF(AND(NT!D37&gt;1000,NT!D37*0.75&gt;NT!D283),1,0)</f>
        <v>1</v>
      </c>
      <c r="G299" s="114"/>
      <c r="H299" s="114"/>
      <c r="I299" s="114"/>
      <c r="J299" s="114"/>
      <c r="K299" s="114"/>
    </row>
    <row r="300" spans="1:11" ht="20.100000000000001" customHeight="1" x14ac:dyDescent="0.25">
      <c r="A300" s="601" t="s">
        <v>2201</v>
      </c>
      <c r="B300" s="602"/>
      <c r="C300" s="603"/>
      <c r="E300" s="115">
        <f>SUM(E301:E314)</f>
        <v>0</v>
      </c>
    </row>
    <row r="301" spans="1:11" customFormat="1" ht="30" customHeight="1" x14ac:dyDescent="0.25">
      <c r="A301" s="82">
        <f>A299+1</f>
        <v>288</v>
      </c>
      <c r="B301" s="153" t="str">
        <f t="shared" ref="B301:B314" si="34">IF(E301=1,"Nije zadovoljena", "Zadovoljena")</f>
        <v>Zadovoljena</v>
      </c>
      <c r="C301" s="159" t="s">
        <v>2362</v>
      </c>
      <c r="E301" s="114">
        <f t="shared" ref="E301:E314" si="35">MAX(F301:H301)</f>
        <v>0</v>
      </c>
      <c r="F301" s="114">
        <f>IF(OR(SPRRAS!D55+SPRRAS!D56-SPRRAS!D54&gt;0, SPRRAS!E55+SPRRAS!E56-SPRRAS!E54&gt;0),1,0)</f>
        <v>0</v>
      </c>
      <c r="G301" s="114">
        <f>IF(AND(SPRRAS!D54&gt;0,SPRRAS!D55=0,SPRRAS!D56=0), 1,0)</f>
        <v>0</v>
      </c>
      <c r="H301" s="114">
        <f>IF(AND(SPRRAS!E54&gt;0,SPRRAS!E55=0,SPRRAS!E56=0), 1,0)</f>
        <v>0</v>
      </c>
      <c r="I301" s="114"/>
      <c r="J301" s="114"/>
      <c r="K301" s="114"/>
    </row>
    <row r="302" spans="1:11" customFormat="1" ht="20.100000000000001" customHeight="1" x14ac:dyDescent="0.25">
      <c r="A302" s="83">
        <f>A301+1</f>
        <v>289</v>
      </c>
      <c r="B302" s="155" t="str">
        <f t="shared" si="34"/>
        <v>Zadovoljena</v>
      </c>
      <c r="C302" s="156" t="s">
        <v>2363</v>
      </c>
      <c r="E302" s="114">
        <f t="shared" si="35"/>
        <v>0</v>
      </c>
      <c r="F302" s="114">
        <f>IF(OR(SPRRAS!D71&gt;SPRRAS!D70,SPRRAS!E71&gt;SPRRAS!E70),1,0)</f>
        <v>0</v>
      </c>
      <c r="G302" s="114"/>
      <c r="H302" s="114"/>
      <c r="I302" s="114"/>
      <c r="J302" s="114"/>
      <c r="K302" s="114"/>
    </row>
    <row r="303" spans="1:11" customFormat="1" ht="30" customHeight="1" x14ac:dyDescent="0.25">
      <c r="A303" s="83">
        <f t="shared" ref="A303:A314" si="36">A302+1</f>
        <v>290</v>
      </c>
      <c r="B303" s="155" t="str">
        <f t="shared" si="34"/>
        <v>Zadovoljena</v>
      </c>
      <c r="C303" s="156" t="s">
        <v>2364</v>
      </c>
      <c r="E303" s="114">
        <f t="shared" si="35"/>
        <v>0</v>
      </c>
      <c r="F303" s="114">
        <f>IF(OR(SPRRAS!D53&gt;SPRRAS!D20,SPRRAS!E53&gt;SPRRAS!E20,AND(SPRRAS!D53=0,SPRRAS!D20&gt;0),AND(SPRRAS!E53=0,SPRRAS!E20&gt;0)),1,0)</f>
        <v>0</v>
      </c>
      <c r="G303" s="114"/>
      <c r="H303" s="114"/>
      <c r="I303" s="114"/>
      <c r="J303" s="114"/>
      <c r="K303" s="114"/>
    </row>
    <row r="304" spans="1:11" customFormat="1" ht="20.100000000000001" customHeight="1" x14ac:dyDescent="0.25">
      <c r="A304" s="83">
        <f t="shared" si="36"/>
        <v>291</v>
      </c>
      <c r="B304" s="155" t="str">
        <f t="shared" si="34"/>
        <v>Zadovoljena</v>
      </c>
      <c r="C304" s="156" t="s">
        <v>1440</v>
      </c>
      <c r="E304" s="114">
        <f t="shared" si="35"/>
        <v>0</v>
      </c>
      <c r="F304" s="114">
        <f>IF(OR(SPRRAS!D59-SUM(SPRRAS!D60:D70)-SUM(SPRRAS!D72:D75)&lt;0,SPRRAS!E59-SUM(SPRRAS!E60:E70)-SUM(SPRRAS!E72:E75)&lt;0),1,0)</f>
        <v>0</v>
      </c>
      <c r="G304" s="114"/>
      <c r="H304" s="114"/>
      <c r="I304" s="114"/>
      <c r="J304" s="114"/>
      <c r="K304" s="114"/>
    </row>
    <row r="305" spans="1:11" customFormat="1" ht="20.100000000000001" customHeight="1" x14ac:dyDescent="0.25">
      <c r="A305" s="83">
        <f t="shared" si="36"/>
        <v>292</v>
      </c>
      <c r="B305" s="155" t="str">
        <f t="shared" si="34"/>
        <v>Zadovoljena</v>
      </c>
      <c r="C305" s="156" t="s">
        <v>3260</v>
      </c>
      <c r="E305" s="114">
        <f t="shared" si="35"/>
        <v>0</v>
      </c>
      <c r="F305" s="114">
        <f>IF(OR(SUM(SPRRAS!D43:D48)&gt;SPRRAS!D13,SUM(SPRRAS!E43:E48)&gt;SPRRAS!E13),1,0)</f>
        <v>0</v>
      </c>
      <c r="G305" s="114"/>
      <c r="H305" s="114"/>
      <c r="I305" s="114"/>
      <c r="J305" s="114"/>
      <c r="K305" s="114"/>
    </row>
    <row r="306" spans="1:11" customFormat="1" ht="20.100000000000001" customHeight="1" x14ac:dyDescent="0.25">
      <c r="A306" s="83">
        <f t="shared" si="36"/>
        <v>293</v>
      </c>
      <c r="B306" s="155" t="str">
        <f t="shared" si="34"/>
        <v>Zadovoljena</v>
      </c>
      <c r="C306" s="156" t="s">
        <v>3261</v>
      </c>
      <c r="E306" s="114">
        <f t="shared" si="35"/>
        <v>0</v>
      </c>
      <c r="F306" s="114">
        <f>IF(OR(SUM(SPRRAS!D49:D51)&gt;SPRRAS!D16,SUM(SPRRAS!E49:E51)&gt;SPRRAS!E16),1,0)</f>
        <v>0</v>
      </c>
      <c r="G306" s="114"/>
      <c r="H306" s="114"/>
      <c r="I306" s="114"/>
      <c r="J306" s="114"/>
      <c r="K306" s="114"/>
    </row>
    <row r="307" spans="1:11" customFormat="1" ht="20.100000000000001" customHeight="1" x14ac:dyDescent="0.25">
      <c r="A307" s="83">
        <f t="shared" si="36"/>
        <v>294</v>
      </c>
      <c r="B307" s="155" t="str">
        <f t="shared" si="34"/>
        <v>Zadovoljena</v>
      </c>
      <c r="C307" s="156" t="s">
        <v>3262</v>
      </c>
      <c r="E307" s="114">
        <f t="shared" si="35"/>
        <v>0</v>
      </c>
      <c r="F307" s="114">
        <f>IF(OR(SPRRAS!D17&lt;&gt;SPRRAS!D52,SPRRAS!E17&lt;&gt;SPRRAS!E52),1,0)</f>
        <v>0</v>
      </c>
      <c r="G307" s="114"/>
      <c r="H307" s="114"/>
      <c r="I307" s="114"/>
      <c r="J307" s="114"/>
      <c r="K307" s="114"/>
    </row>
    <row r="308" spans="1:11" customFormat="1" ht="20.100000000000001" customHeight="1" x14ac:dyDescent="0.25">
      <c r="A308" s="83">
        <f t="shared" si="36"/>
        <v>295</v>
      </c>
      <c r="B308" s="155" t="str">
        <f t="shared" si="34"/>
        <v>Zadovoljena</v>
      </c>
      <c r="C308" s="156" t="s">
        <v>3263</v>
      </c>
      <c r="E308" s="114">
        <f t="shared" si="35"/>
        <v>0</v>
      </c>
      <c r="F308" s="114">
        <f>IF(OR(SUM(SPRRAS!D77:D80)&gt;SPRRAS!D24,SUM(SPRRAS!E77:E80)&gt;SPRRAS!E24),1,0)</f>
        <v>0</v>
      </c>
      <c r="G308" s="114"/>
      <c r="H308" s="114"/>
      <c r="I308" s="114"/>
      <c r="J308" s="114"/>
      <c r="K308" s="114"/>
    </row>
    <row r="309" spans="1:11" customFormat="1" ht="20.100000000000001" customHeight="1" x14ac:dyDescent="0.25">
      <c r="A309" s="83">
        <f t="shared" si="36"/>
        <v>296</v>
      </c>
      <c r="B309" s="155" t="str">
        <f t="shared" si="34"/>
        <v>Zadovoljena</v>
      </c>
      <c r="C309" s="156" t="s">
        <v>1441</v>
      </c>
      <c r="E309" s="114">
        <f t="shared" si="35"/>
        <v>0</v>
      </c>
      <c r="F309" s="114">
        <f>IF(OR(SUM(SPRRAS!D81:D82)&gt;SPRRAS!D26,SUM(SPRRAS!E81:E82)&gt;SPRRAS!E26),1,0)</f>
        <v>0</v>
      </c>
      <c r="G309" s="114"/>
      <c r="H309" s="114"/>
      <c r="I309" s="114"/>
      <c r="J309" s="114"/>
      <c r="K309" s="114"/>
    </row>
    <row r="310" spans="1:11" customFormat="1" ht="20.100000000000001" customHeight="1" x14ac:dyDescent="0.25">
      <c r="A310" s="83">
        <f t="shared" si="36"/>
        <v>297</v>
      </c>
      <c r="B310" s="155" t="str">
        <f t="shared" si="34"/>
        <v>Zadovoljena</v>
      </c>
      <c r="C310" s="156" t="s">
        <v>3264</v>
      </c>
      <c r="E310" s="114">
        <f t="shared" si="35"/>
        <v>0</v>
      </c>
      <c r="F310" s="114">
        <f>IF(OR(SUM(SPRRAS!D83:D85)&gt;SPRRAS!D33,SUM(SPRRAS!E83:E85)&gt;SPRRAS!E33),1,0)</f>
        <v>0</v>
      </c>
      <c r="G310" s="114"/>
      <c r="H310" s="114"/>
      <c r="I310" s="114"/>
      <c r="J310" s="114"/>
      <c r="K310" s="114"/>
    </row>
    <row r="311" spans="1:11" customFormat="1" ht="20.100000000000001" customHeight="1" x14ac:dyDescent="0.25">
      <c r="A311" s="83">
        <f t="shared" si="36"/>
        <v>298</v>
      </c>
      <c r="B311" s="155" t="str">
        <f t="shared" si="34"/>
        <v>Zadovoljena</v>
      </c>
      <c r="C311" s="156" t="s">
        <v>906</v>
      </c>
      <c r="E311" s="114">
        <f t="shared" si="35"/>
        <v>0</v>
      </c>
      <c r="F311" s="114">
        <f>IF(OR(ABS(SPRRAS!D34-SUM(SPRRAS!D86:D95))&gt;1,ABS(SPRRAS!E34-SUM(SPRRAS!E86:E95))&gt;1),1,0)</f>
        <v>0</v>
      </c>
      <c r="G311" s="114"/>
      <c r="H311" s="114"/>
      <c r="I311" s="114"/>
      <c r="J311" s="114"/>
      <c r="K311" s="114"/>
    </row>
    <row r="312" spans="1:11" customFormat="1" ht="20.100000000000001" customHeight="1" x14ac:dyDescent="0.25">
      <c r="A312" s="83">
        <f t="shared" si="36"/>
        <v>299</v>
      </c>
      <c r="B312" s="155" t="str">
        <f t="shared" si="34"/>
        <v>Zadovoljena</v>
      </c>
      <c r="C312" s="156" t="s">
        <v>2365</v>
      </c>
      <c r="E312" s="114">
        <f t="shared" si="35"/>
        <v>0</v>
      </c>
      <c r="F312" s="114">
        <f>IF(OR(SPRRAS!D96&gt;SPRRAS!D35,SPRRAS!E96&gt;SPRRAS!E35),1,0)</f>
        <v>0</v>
      </c>
      <c r="G312" s="114"/>
      <c r="H312" s="114"/>
      <c r="I312" s="114"/>
      <c r="J312" s="114"/>
      <c r="K312" s="114"/>
    </row>
    <row r="313" spans="1:11" customFormat="1" ht="20.100000000000001" customHeight="1" x14ac:dyDescent="0.25">
      <c r="A313" s="83">
        <f t="shared" si="36"/>
        <v>300</v>
      </c>
      <c r="B313" s="155" t="str">
        <f t="shared" si="34"/>
        <v>Zadovoljena</v>
      </c>
      <c r="C313" s="156" t="s">
        <v>907</v>
      </c>
      <c r="E313" s="114">
        <f t="shared" si="35"/>
        <v>0</v>
      </c>
      <c r="F313" s="114">
        <f>IF(OR(ABS(SPRRAS!D37-SUM(SPRRAS!D97:D101))&gt;1,ABS(SPRRAS!E37-SUM(SPRRAS!E97:E101))&gt;1),1,0)</f>
        <v>0</v>
      </c>
      <c r="G313" s="114"/>
      <c r="H313" s="114"/>
      <c r="I313" s="114"/>
      <c r="J313" s="114"/>
      <c r="K313" s="114"/>
    </row>
    <row r="314" spans="1:11" customFormat="1" ht="30" customHeight="1" x14ac:dyDescent="0.25">
      <c r="A314" s="83">
        <f t="shared" si="36"/>
        <v>301</v>
      </c>
      <c r="B314" s="157" t="str">
        <f t="shared" si="34"/>
        <v>Zadovoljena</v>
      </c>
      <c r="C314" s="158" t="s">
        <v>3774</v>
      </c>
      <c r="E314" s="114">
        <f t="shared" si="35"/>
        <v>0</v>
      </c>
      <c r="F314" s="114">
        <f>IF(SUM(Skriveni!H1850:H1975)&lt;&gt;0,1,0)</f>
        <v>0</v>
      </c>
      <c r="G314" s="114"/>
      <c r="H314" s="114"/>
      <c r="I314" s="114"/>
      <c r="J314" s="114"/>
      <c r="K314" s="114"/>
    </row>
    <row r="315" spans="1:11" ht="20.100000000000001" customHeight="1" x14ac:dyDescent="0.25">
      <c r="A315" s="597" t="s">
        <v>2202</v>
      </c>
      <c r="B315" s="598"/>
      <c r="C315" s="599"/>
      <c r="E315" s="115">
        <f>SUM(E316:E318)</f>
        <v>0</v>
      </c>
    </row>
    <row r="316" spans="1:11" customFormat="1" ht="30" customHeight="1" x14ac:dyDescent="0.25">
      <c r="A316" s="82">
        <f>A314+1</f>
        <v>302</v>
      </c>
      <c r="B316" s="153" t="str">
        <f>IF(E316=1,"Nije zadovoljena", "Zadovoljena")</f>
        <v>Zadovoljena</v>
      </c>
      <c r="C316" s="159" t="s">
        <v>908</v>
      </c>
      <c r="E316" s="114">
        <f>MAX(F316:H316)</f>
        <v>0</v>
      </c>
      <c r="F316" s="114">
        <f>IF(ABS(SPRRAS!D20-SPRRAS!D53)&gt;1,1,0)</f>
        <v>0</v>
      </c>
      <c r="G316" s="114">
        <f>IF(ABS(SPRRAS!E20-SPRRAS!E53)&gt;1,1,0)</f>
        <v>0</v>
      </c>
      <c r="H316" s="114"/>
      <c r="I316" s="114"/>
      <c r="J316" s="114"/>
      <c r="K316" s="114"/>
    </row>
    <row r="317" spans="1:11" customFormat="1" ht="30.75" customHeight="1" x14ac:dyDescent="0.25">
      <c r="A317" s="83">
        <f>A316+1</f>
        <v>303</v>
      </c>
      <c r="B317" s="155" t="str">
        <f>IF(E317=1,"Nije zadovoljena", "Zadovoljena")</f>
        <v>Zadovoljena</v>
      </c>
      <c r="C317" s="156" t="s">
        <v>2886</v>
      </c>
      <c r="E317" s="114">
        <f>MAX(F317:H317)</f>
        <v>0</v>
      </c>
      <c r="F317" s="114">
        <f>IF((SUM(SPRRAS!D60:D69)+SPRRAS!D71)&gt;SPRRAS!D59,1,0)</f>
        <v>0</v>
      </c>
      <c r="G317" s="114">
        <f>IF((SUM(SPRRAS!E60:E69)+SPRRAS!E71)&gt;SPRRAS!E59,1,0)</f>
        <v>0</v>
      </c>
      <c r="H317" s="114"/>
      <c r="I317" s="114"/>
      <c r="J317" s="114"/>
      <c r="K317" s="114"/>
    </row>
    <row r="318" spans="1:11" ht="46.5" customHeight="1" x14ac:dyDescent="0.25">
      <c r="A318" s="84">
        <f>A317+1</f>
        <v>304</v>
      </c>
      <c r="B318" s="157" t="str">
        <f>IF(E318=1,"Nije zadovoljena", "Zadovoljena")</f>
        <v>Zadovoljena</v>
      </c>
      <c r="C318" s="158" t="s">
        <v>4144</v>
      </c>
      <c r="E318" s="114">
        <f>MAX(F318:H318)</f>
        <v>0</v>
      </c>
      <c r="F318" s="54">
        <f>IF(AND(SPRRAS!D59&gt;0,SUM(SPRRAS!D60:D75)=0),1,0)</f>
        <v>0</v>
      </c>
      <c r="G318" s="54">
        <f>IF(AND(SPRRAS!E59&gt;0,SUM(SPRRAS!E60:E75)=0),1,0)</f>
        <v>0</v>
      </c>
    </row>
    <row r="319" spans="1:11" ht="20.100000000000001" customHeight="1" x14ac:dyDescent="0.25">
      <c r="A319" s="594" t="s">
        <v>3435</v>
      </c>
      <c r="B319" s="595"/>
      <c r="C319" s="596"/>
      <c r="E319" s="115">
        <f>SUM(E320:E321)</f>
        <v>0</v>
      </c>
    </row>
    <row r="320" spans="1:11" customFormat="1" ht="30" customHeight="1" x14ac:dyDescent="0.25">
      <c r="A320" s="82">
        <f>A318+1</f>
        <v>305</v>
      </c>
      <c r="B320" s="153" t="str">
        <f>IF(E320=1,"Nije zadovoljena", "Zadovoljena")</f>
        <v>Zadovoljena</v>
      </c>
      <c r="C320" s="159" t="s">
        <v>1952</v>
      </c>
      <c r="E320" s="114">
        <f>MAX(F320:I320)</f>
        <v>0</v>
      </c>
      <c r="F320" s="114">
        <f>IF(SUM(Skriveni!H1300:H1436)&lt;&gt;0,1,0)</f>
        <v>0</v>
      </c>
      <c r="G320" s="114"/>
      <c r="H320" s="114"/>
      <c r="I320" s="114"/>
      <c r="J320" s="114"/>
      <c r="K320" s="114"/>
    </row>
    <row r="321" spans="1:11" customFormat="1" ht="30" customHeight="1" x14ac:dyDescent="0.25">
      <c r="A321" s="84">
        <f>A320+1</f>
        <v>306</v>
      </c>
      <c r="B321" s="157" t="str">
        <f>IF(E321=1,"Nije zadovoljena", "Zadovoljena")</f>
        <v>Zadovoljena</v>
      </c>
      <c r="C321" s="158" t="s">
        <v>1953</v>
      </c>
      <c r="E321" s="114">
        <f>MAX(F321:I321)</f>
        <v>0</v>
      </c>
      <c r="F321" s="114">
        <f>IF(MIN(Skriveni!C1300:D1436)&lt;0,1,0)</f>
        <v>0</v>
      </c>
      <c r="G321" s="114"/>
      <c r="H321" s="114"/>
      <c r="I321" s="114"/>
      <c r="J321" s="114"/>
      <c r="K321" s="114"/>
    </row>
    <row r="322" spans="1:11" ht="5.25" customHeight="1" x14ac:dyDescent="0.25"/>
    <row r="323" spans="1:11" x14ac:dyDescent="0.25"/>
    <row r="324" spans="1:11" x14ac:dyDescent="0.25"/>
  </sheetData>
  <sheetProtection password="C79A" sheet="1" objects="1" scenarios="1"/>
  <mergeCells count="14">
    <mergeCell ref="A319:C319"/>
    <mergeCell ref="A174:C174"/>
    <mergeCell ref="A237:C237"/>
    <mergeCell ref="A315:C315"/>
    <mergeCell ref="A1:C1"/>
    <mergeCell ref="A300:C300"/>
    <mergeCell ref="A3:C3"/>
    <mergeCell ref="A26:C26"/>
    <mergeCell ref="A22:C22"/>
    <mergeCell ref="A16:C16"/>
    <mergeCell ref="A261:C261"/>
    <mergeCell ref="A265:C265"/>
    <mergeCell ref="A270:C270"/>
    <mergeCell ref="A298:C298"/>
  </mergeCells>
  <phoneticPr fontId="10" type="noConversion"/>
  <conditionalFormatting sqref="B301:B314 B238:B260 B262:B264 B266:B269 B271:B297 B320:B321 B17:B21 B4:B15 B27:B173">
    <cfRule type="cellIs" dxfId="2" priority="1" stopIfTrue="1" operator="equal">
      <formula>"Nije zadovoljena"</formula>
    </cfRule>
  </conditionalFormatting>
  <conditionalFormatting sqref="B316:B318 B299">
    <cfRule type="cellIs" dxfId="1" priority="2" stopIfTrue="1" operator="equal">
      <formula>"Nije zadovoljena"</formula>
    </cfRule>
  </conditionalFormatting>
  <conditionalFormatting sqref="B175:B236 B23:B25">
    <cfRule type="cellIs" dxfId="0" priority="3" stopIfTrue="1" operator="equal">
      <formula>"Nije zadovoljena"</formula>
    </cfRule>
  </conditionalFormatting>
  <hyperlinks>
    <hyperlink ref="A26:C26" location="PRRAS!A1" tooltip="Povratak na obrazac PR-RAS" display="Kontrole na obrascu PR-RAS - KONTROLE POGREŠKE"/>
    <hyperlink ref="A261:C261" location="Obv!B4" tooltip="Povratak na obrazac Obveze" display="OBVEZE - obvezne kontrole"/>
    <hyperlink ref="A265:C265" location="PVRIO!B4" tooltip="Povratak na obrazac P-VRIO" display="P-VRIO - obvezne kontrole"/>
    <hyperlink ref="A270:C270" location="NT!A1" tooltip="Povratak na obrazac PR-RAS" display="NT - obvezne kontrole"/>
    <hyperlink ref="A300:C300" location="SPRRAS!B4" tooltip="Povratak na obrazac S-PR-RAS" display="S-PR-RAS - obvezne kontrole"/>
    <hyperlink ref="A315:C315" location="PRRAS!A1" tooltip="Povratak na obrazac PR-RAS" display="Kontrole na obrascu PR-RAS - KONTROLE POGREŠKE"/>
    <hyperlink ref="A1:C1" location="RefStr!B6" tooltip="Povratak na Referentnu stranicu" display="&lt;–––– Povratak na naslovnu"/>
    <hyperlink ref="A174:C174" location="PRRAS!A1" display="PR-RAS - kontrole upozorenja"/>
    <hyperlink ref="A237:C237" location="Bil!A1" tooltip="Povratak na obrazac PR-RAS" display="BIL - obvezne kontrole"/>
    <hyperlink ref="A298:C298" location="PRRAS!A1" tooltip="Povratak na obrazac PR-RAS" display="Kontrole na obrascu PR-RAS - KONTROLE POGREŠKE"/>
    <hyperlink ref="A22:C22" location="PRRAS!A1" display="PR-RAS - kontrole upozorenja"/>
    <hyperlink ref="A16:C16" location="PRRAS!A1" tooltip="Povratak na obrazac PR-RAS" display="Kontrole na obrascu PR-RAS - KONTROLE POGREŠKE"/>
    <hyperlink ref="A319:C319" location="RasF!A1" tooltip="Kliknite za povratak na obrazac RAS-funkcijski" display="RAS-funkcijski - obvezne kontrole"/>
  </hyperlinks>
  <pageMargins left="0.75" right="0.75" top="1" bottom="1" header="0.5" footer="0.5"/>
  <pageSetup paperSize="9" scale="3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4">
    <pageSetUpPr fitToPage="1"/>
  </sheetPr>
  <dimension ref="A1:I885"/>
  <sheetViews>
    <sheetView showGridLines="0" showRowColHeaders="0" workbookViewId="0">
      <selection sqref="A1:H1"/>
    </sheetView>
  </sheetViews>
  <sheetFormatPr defaultColWidth="0" defaultRowHeight="13.2" zeroHeight="1" x14ac:dyDescent="0.25"/>
  <cols>
    <col min="1" max="1" width="8.6640625" style="68" customWidth="1"/>
    <col min="2" max="2" width="25.6640625" style="68" customWidth="1"/>
    <col min="3" max="3" width="3.6640625" style="68" customWidth="1"/>
    <col min="4" max="4" width="8.6640625" style="68" customWidth="1"/>
    <col min="5" max="5" width="25.6640625" style="68" customWidth="1"/>
    <col min="6" max="6" width="3.6640625" style="68" customWidth="1"/>
    <col min="7" max="7" width="8.6640625" style="68" customWidth="1"/>
    <col min="8" max="8" width="25.6640625" style="68" customWidth="1"/>
    <col min="9" max="9" width="0.88671875" style="68" customWidth="1"/>
    <col min="10" max="16384" width="9.109375" style="68" hidden="1"/>
  </cols>
  <sheetData>
    <row r="1" spans="1:8" ht="20.100000000000001" customHeight="1" x14ac:dyDescent="0.25">
      <c r="A1" s="628" t="s">
        <v>284</v>
      </c>
      <c r="B1" s="628"/>
      <c r="C1" s="628"/>
      <c r="D1" s="628"/>
      <c r="E1" s="628"/>
      <c r="F1" s="628"/>
      <c r="G1" s="628"/>
      <c r="H1" s="628"/>
    </row>
    <row r="2" spans="1:8" ht="45" customHeight="1" x14ac:dyDescent="0.25">
      <c r="A2" s="613" t="s">
        <v>1933</v>
      </c>
      <c r="B2" s="614"/>
      <c r="C2" s="614"/>
      <c r="D2" s="614"/>
      <c r="E2" s="614"/>
      <c r="F2" s="614"/>
      <c r="G2" s="614"/>
      <c r="H2" s="615"/>
    </row>
    <row r="3" spans="1:8" ht="20.25" customHeight="1" x14ac:dyDescent="0.25">
      <c r="A3" s="618" t="s">
        <v>4382</v>
      </c>
      <c r="B3" s="619"/>
      <c r="C3" s="620"/>
      <c r="D3" s="621" t="s">
        <v>3612</v>
      </c>
      <c r="E3" s="622"/>
      <c r="F3" s="623"/>
      <c r="G3" s="624" t="s">
        <v>3613</v>
      </c>
      <c r="H3" s="625"/>
    </row>
    <row r="4" spans="1:8" s="69" customFormat="1" ht="38.25" customHeight="1" x14ac:dyDescent="0.25">
      <c r="A4" s="616" t="s">
        <v>488</v>
      </c>
      <c r="B4" s="616"/>
      <c r="C4" s="616"/>
      <c r="D4" s="616"/>
      <c r="E4" s="616"/>
      <c r="F4" s="616"/>
      <c r="G4" s="616"/>
      <c r="H4" s="617"/>
    </row>
    <row r="5" spans="1:8" ht="26.1" customHeight="1" x14ac:dyDescent="0.25">
      <c r="A5" s="66" t="s">
        <v>1252</v>
      </c>
      <c r="B5" s="67" t="s">
        <v>489</v>
      </c>
      <c r="D5" s="66" t="s">
        <v>1252</v>
      </c>
      <c r="E5" s="67" t="s">
        <v>489</v>
      </c>
      <c r="G5" s="66" t="s">
        <v>1252</v>
      </c>
      <c r="H5" s="67" t="s">
        <v>489</v>
      </c>
    </row>
    <row r="6" spans="1:8" ht="14.1" customHeight="1" x14ac:dyDescent="0.25">
      <c r="A6" s="70">
        <v>1</v>
      </c>
      <c r="B6" s="71" t="s">
        <v>490</v>
      </c>
      <c r="D6" s="70">
        <v>185</v>
      </c>
      <c r="E6" s="71" t="s">
        <v>491</v>
      </c>
      <c r="G6" s="70">
        <v>88</v>
      </c>
      <c r="H6" s="71" t="s">
        <v>492</v>
      </c>
    </row>
    <row r="7" spans="1:8" ht="14.1" customHeight="1" x14ac:dyDescent="0.25">
      <c r="A7" s="72">
        <v>2</v>
      </c>
      <c r="B7" s="73" t="s">
        <v>493</v>
      </c>
      <c r="D7" s="72">
        <v>186</v>
      </c>
      <c r="E7" s="73" t="s">
        <v>494</v>
      </c>
      <c r="G7" s="72">
        <v>298</v>
      </c>
      <c r="H7" s="73" t="s">
        <v>495</v>
      </c>
    </row>
    <row r="8" spans="1:8" ht="14.1" customHeight="1" x14ac:dyDescent="0.25">
      <c r="A8" s="72">
        <v>3</v>
      </c>
      <c r="B8" s="73" t="s">
        <v>496</v>
      </c>
      <c r="D8" s="72">
        <v>187</v>
      </c>
      <c r="E8" s="73" t="s">
        <v>733</v>
      </c>
      <c r="G8" s="72">
        <v>358</v>
      </c>
      <c r="H8" s="73" t="s">
        <v>734</v>
      </c>
    </row>
    <row r="9" spans="1:8" ht="14.1" customHeight="1" x14ac:dyDescent="0.25">
      <c r="A9" s="72">
        <v>4</v>
      </c>
      <c r="B9" s="73" t="s">
        <v>735</v>
      </c>
      <c r="D9" s="72">
        <v>189</v>
      </c>
      <c r="E9" s="73" t="s">
        <v>736</v>
      </c>
      <c r="G9" s="72">
        <v>359</v>
      </c>
      <c r="H9" s="73" t="s">
        <v>737</v>
      </c>
    </row>
    <row r="10" spans="1:8" ht="14.1" customHeight="1" x14ac:dyDescent="0.25">
      <c r="A10" s="72">
        <v>5</v>
      </c>
      <c r="B10" s="73" t="s">
        <v>738</v>
      </c>
      <c r="D10" s="72">
        <v>190</v>
      </c>
      <c r="E10" s="73" t="s">
        <v>739</v>
      </c>
      <c r="G10" s="72">
        <v>360</v>
      </c>
      <c r="H10" s="73" t="s">
        <v>740</v>
      </c>
    </row>
    <row r="11" spans="1:8" ht="14.1" customHeight="1" x14ac:dyDescent="0.25">
      <c r="A11" s="72">
        <v>6</v>
      </c>
      <c r="B11" s="73" t="s">
        <v>741</v>
      </c>
      <c r="D11" s="72">
        <v>192</v>
      </c>
      <c r="E11" s="73" t="s">
        <v>742</v>
      </c>
      <c r="G11" s="72">
        <v>361</v>
      </c>
      <c r="H11" s="73" t="s">
        <v>743</v>
      </c>
    </row>
    <row r="12" spans="1:8" ht="14.1" customHeight="1" x14ac:dyDescent="0.25">
      <c r="A12" s="72">
        <v>7</v>
      </c>
      <c r="B12" s="73" t="s">
        <v>744</v>
      </c>
      <c r="D12" s="72">
        <v>193</v>
      </c>
      <c r="E12" s="73" t="s">
        <v>745</v>
      </c>
      <c r="G12" s="72">
        <v>362</v>
      </c>
      <c r="H12" s="73" t="s">
        <v>746</v>
      </c>
    </row>
    <row r="13" spans="1:8" ht="14.1" customHeight="1" x14ac:dyDescent="0.25">
      <c r="A13" s="72">
        <v>8</v>
      </c>
      <c r="B13" s="73" t="s">
        <v>747</v>
      </c>
      <c r="D13" s="72">
        <v>194</v>
      </c>
      <c r="E13" s="73" t="s">
        <v>748</v>
      </c>
      <c r="G13" s="72">
        <v>363</v>
      </c>
      <c r="H13" s="73" t="s">
        <v>749</v>
      </c>
    </row>
    <row r="14" spans="1:8" ht="14.1" customHeight="1" x14ac:dyDescent="0.25">
      <c r="A14" s="72">
        <v>9</v>
      </c>
      <c r="B14" s="73" t="s">
        <v>750</v>
      </c>
      <c r="D14" s="72">
        <v>195</v>
      </c>
      <c r="E14" s="73" t="s">
        <v>751</v>
      </c>
      <c r="G14" s="72">
        <v>364</v>
      </c>
      <c r="H14" s="73" t="s">
        <v>752</v>
      </c>
    </row>
    <row r="15" spans="1:8" ht="14.1" customHeight="1" x14ac:dyDescent="0.25">
      <c r="A15" s="72">
        <v>10</v>
      </c>
      <c r="B15" s="73" t="s">
        <v>753</v>
      </c>
      <c r="D15" s="72">
        <v>196</v>
      </c>
      <c r="E15" s="73" t="s">
        <v>754</v>
      </c>
      <c r="G15" s="72">
        <v>536</v>
      </c>
      <c r="H15" s="73" t="s">
        <v>755</v>
      </c>
    </row>
    <row r="16" spans="1:8" ht="14.1" customHeight="1" x14ac:dyDescent="0.25">
      <c r="A16" s="72">
        <v>11</v>
      </c>
      <c r="B16" s="73" t="s">
        <v>756</v>
      </c>
      <c r="D16" s="72">
        <v>622</v>
      </c>
      <c r="E16" s="73" t="s">
        <v>757</v>
      </c>
      <c r="G16" s="72">
        <v>365</v>
      </c>
      <c r="H16" s="73" t="s">
        <v>758</v>
      </c>
    </row>
    <row r="17" spans="1:8" ht="14.1" customHeight="1" x14ac:dyDescent="0.25">
      <c r="A17" s="72">
        <v>550</v>
      </c>
      <c r="B17" s="73" t="s">
        <v>759</v>
      </c>
      <c r="D17" s="72">
        <v>197</v>
      </c>
      <c r="E17" s="73" t="s">
        <v>760</v>
      </c>
      <c r="G17" s="72">
        <v>366</v>
      </c>
      <c r="H17" s="73" t="s">
        <v>761</v>
      </c>
    </row>
    <row r="18" spans="1:8" ht="14.1" customHeight="1" x14ac:dyDescent="0.25">
      <c r="A18" s="72">
        <v>12</v>
      </c>
      <c r="B18" s="73" t="s">
        <v>762</v>
      </c>
      <c r="D18" s="72">
        <v>198</v>
      </c>
      <c r="E18" s="73" t="s">
        <v>763</v>
      </c>
      <c r="G18" s="72">
        <v>368</v>
      </c>
      <c r="H18" s="73" t="s">
        <v>764</v>
      </c>
    </row>
    <row r="19" spans="1:8" ht="14.1" customHeight="1" x14ac:dyDescent="0.25">
      <c r="A19" s="72">
        <v>13</v>
      </c>
      <c r="B19" s="73" t="s">
        <v>765</v>
      </c>
      <c r="D19" s="72">
        <v>199</v>
      </c>
      <c r="E19" s="73" t="s">
        <v>766</v>
      </c>
      <c r="G19" s="72">
        <v>369</v>
      </c>
      <c r="H19" s="73" t="s">
        <v>767</v>
      </c>
    </row>
    <row r="20" spans="1:8" ht="14.1" customHeight="1" x14ac:dyDescent="0.25">
      <c r="A20" s="72">
        <v>15</v>
      </c>
      <c r="B20" s="73" t="s">
        <v>768</v>
      </c>
      <c r="D20" s="72">
        <v>200</v>
      </c>
      <c r="E20" s="73" t="s">
        <v>769</v>
      </c>
      <c r="G20" s="72">
        <v>371</v>
      </c>
      <c r="H20" s="73" t="s">
        <v>770</v>
      </c>
    </row>
    <row r="21" spans="1:8" ht="14.1" customHeight="1" x14ac:dyDescent="0.25">
      <c r="A21" s="72">
        <v>16</v>
      </c>
      <c r="B21" s="73" t="s">
        <v>771</v>
      </c>
      <c r="D21" s="72">
        <v>201</v>
      </c>
      <c r="E21" s="73" t="s">
        <v>772</v>
      </c>
      <c r="G21" s="72">
        <v>372</v>
      </c>
      <c r="H21" s="73" t="s">
        <v>773</v>
      </c>
    </row>
    <row r="22" spans="1:8" ht="14.1" customHeight="1" x14ac:dyDescent="0.25">
      <c r="A22" s="72">
        <v>17</v>
      </c>
      <c r="B22" s="73" t="s">
        <v>774</v>
      </c>
      <c r="D22" s="72">
        <v>202</v>
      </c>
      <c r="E22" s="73" t="s">
        <v>775</v>
      </c>
      <c r="G22" s="72">
        <v>556</v>
      </c>
      <c r="H22" s="73" t="s">
        <v>776</v>
      </c>
    </row>
    <row r="23" spans="1:8" ht="14.1" customHeight="1" x14ac:dyDescent="0.25">
      <c r="A23" s="72">
        <v>18</v>
      </c>
      <c r="B23" s="73" t="s">
        <v>777</v>
      </c>
      <c r="D23" s="72">
        <v>203</v>
      </c>
      <c r="E23" s="73" t="s">
        <v>778</v>
      </c>
      <c r="G23" s="72">
        <v>373</v>
      </c>
      <c r="H23" s="73" t="s">
        <v>779</v>
      </c>
    </row>
    <row r="24" spans="1:8" ht="14.1" customHeight="1" x14ac:dyDescent="0.25">
      <c r="A24" s="72">
        <v>19</v>
      </c>
      <c r="B24" s="73" t="s">
        <v>780</v>
      </c>
      <c r="D24" s="72">
        <v>204</v>
      </c>
      <c r="E24" s="73" t="s">
        <v>781</v>
      </c>
      <c r="G24" s="72">
        <v>582</v>
      </c>
      <c r="H24" s="73" t="s">
        <v>782</v>
      </c>
    </row>
    <row r="25" spans="1:8" ht="14.1" customHeight="1" x14ac:dyDescent="0.25">
      <c r="A25" s="72">
        <v>20</v>
      </c>
      <c r="B25" s="73" t="s">
        <v>783</v>
      </c>
      <c r="D25" s="72">
        <v>538</v>
      </c>
      <c r="E25" s="73" t="s">
        <v>784</v>
      </c>
      <c r="G25" s="72">
        <v>374</v>
      </c>
      <c r="H25" s="73" t="s">
        <v>785</v>
      </c>
    </row>
    <row r="26" spans="1:8" ht="14.1" customHeight="1" x14ac:dyDescent="0.25">
      <c r="A26" s="72">
        <v>621</v>
      </c>
      <c r="B26" s="73" t="s">
        <v>786</v>
      </c>
      <c r="D26" s="72">
        <v>205</v>
      </c>
      <c r="E26" s="73" t="s">
        <v>787</v>
      </c>
      <c r="G26" s="72">
        <v>375</v>
      </c>
      <c r="H26" s="73" t="s">
        <v>788</v>
      </c>
    </row>
    <row r="27" spans="1:8" ht="14.1" customHeight="1" x14ac:dyDescent="0.25">
      <c r="A27" s="72">
        <v>21</v>
      </c>
      <c r="B27" s="73" t="s">
        <v>789</v>
      </c>
      <c r="D27" s="72">
        <v>206</v>
      </c>
      <c r="E27" s="73" t="s">
        <v>790</v>
      </c>
      <c r="G27" s="72">
        <v>376</v>
      </c>
      <c r="H27" s="73" t="s">
        <v>4125</v>
      </c>
    </row>
    <row r="28" spans="1:8" ht="14.1" customHeight="1" x14ac:dyDescent="0.25">
      <c r="A28" s="72">
        <v>22</v>
      </c>
      <c r="B28" s="73" t="s">
        <v>4126</v>
      </c>
      <c r="D28" s="72">
        <v>208</v>
      </c>
      <c r="E28" s="73" t="s">
        <v>4127</v>
      </c>
      <c r="G28" s="72">
        <v>591</v>
      </c>
      <c r="H28" s="73" t="s">
        <v>4128</v>
      </c>
    </row>
    <row r="29" spans="1:8" ht="14.1" customHeight="1" x14ac:dyDescent="0.25">
      <c r="A29" s="72">
        <v>310</v>
      </c>
      <c r="B29" s="73" t="s">
        <v>4129</v>
      </c>
      <c r="D29" s="72">
        <v>209</v>
      </c>
      <c r="E29" s="73" t="s">
        <v>4130</v>
      </c>
      <c r="G29" s="72">
        <v>377</v>
      </c>
      <c r="H29" s="73" t="s">
        <v>4131</v>
      </c>
    </row>
    <row r="30" spans="1:8" ht="14.1" customHeight="1" x14ac:dyDescent="0.25">
      <c r="A30" s="72">
        <v>547</v>
      </c>
      <c r="B30" s="73" t="s">
        <v>4132</v>
      </c>
      <c r="D30" s="72">
        <v>211</v>
      </c>
      <c r="E30" s="73" t="s">
        <v>4133</v>
      </c>
      <c r="G30" s="72">
        <v>378</v>
      </c>
      <c r="H30" s="73" t="s">
        <v>4134</v>
      </c>
    </row>
    <row r="31" spans="1:8" ht="14.1" customHeight="1" x14ac:dyDescent="0.25">
      <c r="A31" s="72">
        <v>23</v>
      </c>
      <c r="B31" s="73" t="s">
        <v>4135</v>
      </c>
      <c r="D31" s="72">
        <v>212</v>
      </c>
      <c r="E31" s="73" t="s">
        <v>4136</v>
      </c>
      <c r="G31" s="72">
        <v>379</v>
      </c>
      <c r="H31" s="73" t="s">
        <v>4137</v>
      </c>
    </row>
    <row r="32" spans="1:8" ht="14.1" customHeight="1" x14ac:dyDescent="0.25">
      <c r="A32" s="72">
        <v>24</v>
      </c>
      <c r="B32" s="73" t="s">
        <v>4138</v>
      </c>
      <c r="D32" s="72">
        <v>533</v>
      </c>
      <c r="E32" s="73" t="s">
        <v>4139</v>
      </c>
      <c r="G32" s="72">
        <v>380</v>
      </c>
      <c r="H32" s="73" t="s">
        <v>4140</v>
      </c>
    </row>
    <row r="33" spans="1:8" ht="14.1" customHeight="1" x14ac:dyDescent="0.25">
      <c r="A33" s="72">
        <v>25</v>
      </c>
      <c r="B33" s="73" t="s">
        <v>4141</v>
      </c>
      <c r="D33" s="72">
        <v>545</v>
      </c>
      <c r="E33" s="73" t="s">
        <v>4142</v>
      </c>
      <c r="G33" s="72">
        <v>381</v>
      </c>
      <c r="H33" s="73" t="s">
        <v>4143</v>
      </c>
    </row>
    <row r="34" spans="1:8" ht="14.1" customHeight="1" x14ac:dyDescent="0.25">
      <c r="A34" s="72">
        <v>26</v>
      </c>
      <c r="B34" s="73" t="s">
        <v>3553</v>
      </c>
      <c r="D34" s="72">
        <v>213</v>
      </c>
      <c r="E34" s="73" t="s">
        <v>3554</v>
      </c>
      <c r="G34" s="72">
        <v>382</v>
      </c>
      <c r="H34" s="73" t="s">
        <v>3555</v>
      </c>
    </row>
    <row r="35" spans="1:8" ht="14.1" customHeight="1" x14ac:dyDescent="0.25">
      <c r="A35" s="72">
        <v>27</v>
      </c>
      <c r="B35" s="73" t="s">
        <v>3556</v>
      </c>
      <c r="D35" s="72">
        <v>214</v>
      </c>
      <c r="E35" s="73" t="s">
        <v>3557</v>
      </c>
      <c r="G35" s="72">
        <v>383</v>
      </c>
      <c r="H35" s="73" t="s">
        <v>3558</v>
      </c>
    </row>
    <row r="36" spans="1:8" ht="14.1" customHeight="1" x14ac:dyDescent="0.25">
      <c r="A36" s="72">
        <v>29</v>
      </c>
      <c r="B36" s="73" t="s">
        <v>3559</v>
      </c>
      <c r="D36" s="72">
        <v>215</v>
      </c>
      <c r="E36" s="73" t="s">
        <v>3225</v>
      </c>
      <c r="G36" s="72">
        <v>385</v>
      </c>
      <c r="H36" s="73" t="s">
        <v>3226</v>
      </c>
    </row>
    <row r="37" spans="1:8" ht="14.1" customHeight="1" x14ac:dyDescent="0.25">
      <c r="A37" s="72">
        <v>30</v>
      </c>
      <c r="B37" s="73" t="s">
        <v>3227</v>
      </c>
      <c r="D37" s="72">
        <v>216</v>
      </c>
      <c r="E37" s="73" t="s">
        <v>3228</v>
      </c>
      <c r="G37" s="72">
        <v>386</v>
      </c>
      <c r="H37" s="73" t="s">
        <v>3229</v>
      </c>
    </row>
    <row r="38" spans="1:8" ht="14.1" customHeight="1" x14ac:dyDescent="0.25">
      <c r="A38" s="72">
        <v>32</v>
      </c>
      <c r="B38" s="73" t="s">
        <v>3230</v>
      </c>
      <c r="D38" s="72">
        <v>217</v>
      </c>
      <c r="E38" s="73" t="s">
        <v>3231</v>
      </c>
      <c r="G38" s="72">
        <v>387</v>
      </c>
      <c r="H38" s="73" t="s">
        <v>3232</v>
      </c>
    </row>
    <row r="39" spans="1:8" ht="14.1" customHeight="1" x14ac:dyDescent="0.25">
      <c r="A39" s="72">
        <v>33</v>
      </c>
      <c r="B39" s="73" t="s">
        <v>3233</v>
      </c>
      <c r="D39" s="72">
        <v>572</v>
      </c>
      <c r="E39" s="73" t="s">
        <v>3234</v>
      </c>
      <c r="G39" s="72">
        <v>562</v>
      </c>
      <c r="H39" s="73" t="s">
        <v>1893</v>
      </c>
    </row>
    <row r="40" spans="1:8" ht="14.1" customHeight="1" x14ac:dyDescent="0.25">
      <c r="A40" s="72">
        <v>34</v>
      </c>
      <c r="B40" s="73" t="s">
        <v>1894</v>
      </c>
      <c r="D40" s="72">
        <v>219</v>
      </c>
      <c r="E40" s="73" t="s">
        <v>1895</v>
      </c>
      <c r="G40" s="72">
        <v>388</v>
      </c>
      <c r="H40" s="73" t="s">
        <v>1896</v>
      </c>
    </row>
    <row r="41" spans="1:8" ht="14.1" customHeight="1" x14ac:dyDescent="0.25">
      <c r="A41" s="72">
        <v>77</v>
      </c>
      <c r="B41" s="73" t="s">
        <v>1897</v>
      </c>
      <c r="D41" s="72">
        <v>553</v>
      </c>
      <c r="E41" s="73" t="s">
        <v>1898</v>
      </c>
      <c r="G41" s="72">
        <v>570</v>
      </c>
      <c r="H41" s="73" t="s">
        <v>1899</v>
      </c>
    </row>
    <row r="42" spans="1:8" ht="14.1" customHeight="1" x14ac:dyDescent="0.25">
      <c r="A42" s="72">
        <v>35</v>
      </c>
      <c r="B42" s="73" t="s">
        <v>1900</v>
      </c>
      <c r="D42" s="72">
        <v>220</v>
      </c>
      <c r="E42" s="73" t="s">
        <v>1901</v>
      </c>
      <c r="G42" s="72">
        <v>389</v>
      </c>
      <c r="H42" s="73" t="s">
        <v>1902</v>
      </c>
    </row>
    <row r="43" spans="1:8" ht="14.1" customHeight="1" x14ac:dyDescent="0.25">
      <c r="A43" s="72">
        <v>36</v>
      </c>
      <c r="B43" s="73" t="s">
        <v>1903</v>
      </c>
      <c r="D43" s="72">
        <v>221</v>
      </c>
      <c r="E43" s="73" t="s">
        <v>1904</v>
      </c>
      <c r="G43" s="72">
        <v>390</v>
      </c>
      <c r="H43" s="73" t="s">
        <v>1905</v>
      </c>
    </row>
    <row r="44" spans="1:8" ht="14.1" customHeight="1" x14ac:dyDescent="0.25">
      <c r="A44" s="72">
        <v>151</v>
      </c>
      <c r="B44" s="73" t="s">
        <v>1906</v>
      </c>
      <c r="D44" s="72">
        <v>222</v>
      </c>
      <c r="E44" s="73" t="s">
        <v>1907</v>
      </c>
      <c r="G44" s="72">
        <v>391</v>
      </c>
      <c r="H44" s="73" t="s">
        <v>1908</v>
      </c>
    </row>
    <row r="45" spans="1:8" ht="14.1" customHeight="1" x14ac:dyDescent="0.25">
      <c r="A45" s="72">
        <v>37</v>
      </c>
      <c r="B45" s="73" t="s">
        <v>1909</v>
      </c>
      <c r="D45" s="72">
        <v>223</v>
      </c>
      <c r="E45" s="73" t="s">
        <v>1910</v>
      </c>
      <c r="G45" s="72">
        <v>393</v>
      </c>
      <c r="H45" s="73" t="s">
        <v>575</v>
      </c>
    </row>
    <row r="46" spans="1:8" ht="14.1" customHeight="1" x14ac:dyDescent="0.25">
      <c r="A46" s="72">
        <v>38</v>
      </c>
      <c r="B46" s="73" t="s">
        <v>576</v>
      </c>
      <c r="D46" s="72">
        <v>225</v>
      </c>
      <c r="E46" s="73" t="s">
        <v>577</v>
      </c>
      <c r="G46" s="72">
        <v>394</v>
      </c>
      <c r="H46" s="73" t="s">
        <v>578</v>
      </c>
    </row>
    <row r="47" spans="1:8" ht="14.1" customHeight="1" x14ac:dyDescent="0.25">
      <c r="A47" s="72">
        <v>39</v>
      </c>
      <c r="B47" s="73" t="s">
        <v>579</v>
      </c>
      <c r="D47" s="72">
        <v>226</v>
      </c>
      <c r="E47" s="73" t="s">
        <v>580</v>
      </c>
      <c r="G47" s="72">
        <v>395</v>
      </c>
      <c r="H47" s="73" t="s">
        <v>581</v>
      </c>
    </row>
    <row r="48" spans="1:8" ht="14.1" customHeight="1" x14ac:dyDescent="0.25">
      <c r="A48" s="72">
        <v>40</v>
      </c>
      <c r="B48" s="73" t="s">
        <v>582</v>
      </c>
      <c r="D48" s="72">
        <v>586</v>
      </c>
      <c r="E48" s="73" t="s">
        <v>583</v>
      </c>
      <c r="G48" s="72">
        <v>396</v>
      </c>
      <c r="H48" s="73" t="s">
        <v>2207</v>
      </c>
    </row>
    <row r="49" spans="1:8" ht="14.1" customHeight="1" x14ac:dyDescent="0.25">
      <c r="A49" s="72">
        <v>41</v>
      </c>
      <c r="B49" s="73" t="s">
        <v>2208</v>
      </c>
      <c r="D49" s="72">
        <v>227</v>
      </c>
      <c r="E49" s="73" t="s">
        <v>2209</v>
      </c>
      <c r="G49" s="72">
        <v>397</v>
      </c>
      <c r="H49" s="73" t="s">
        <v>2210</v>
      </c>
    </row>
    <row r="50" spans="1:8" ht="14.1" customHeight="1" x14ac:dyDescent="0.25">
      <c r="A50" s="72">
        <v>42</v>
      </c>
      <c r="B50" s="73" t="s">
        <v>2211</v>
      </c>
      <c r="D50" s="72">
        <v>228</v>
      </c>
      <c r="E50" s="73" t="s">
        <v>2212</v>
      </c>
      <c r="G50" s="72">
        <v>399</v>
      </c>
      <c r="H50" s="73" t="s">
        <v>2213</v>
      </c>
    </row>
    <row r="51" spans="1:8" ht="14.1" customHeight="1" x14ac:dyDescent="0.25">
      <c r="A51" s="72">
        <v>567</v>
      </c>
      <c r="B51" s="73" t="s">
        <v>2214</v>
      </c>
      <c r="D51" s="72">
        <v>229</v>
      </c>
      <c r="E51" s="73" t="s">
        <v>2215</v>
      </c>
      <c r="G51" s="72">
        <v>400</v>
      </c>
      <c r="H51" s="73" t="s">
        <v>2216</v>
      </c>
    </row>
    <row r="52" spans="1:8" ht="14.1" customHeight="1" x14ac:dyDescent="0.25">
      <c r="A52" s="72">
        <v>43</v>
      </c>
      <c r="B52" s="73" t="s">
        <v>2217</v>
      </c>
      <c r="D52" s="72">
        <v>230</v>
      </c>
      <c r="E52" s="73" t="s">
        <v>2218</v>
      </c>
      <c r="G52" s="72">
        <v>402</v>
      </c>
      <c r="H52" s="73" t="s">
        <v>2219</v>
      </c>
    </row>
    <row r="53" spans="1:8" ht="14.1" customHeight="1" x14ac:dyDescent="0.25">
      <c r="A53" s="72">
        <v>44</v>
      </c>
      <c r="B53" s="73" t="s">
        <v>2220</v>
      </c>
      <c r="D53" s="72">
        <v>231</v>
      </c>
      <c r="E53" s="73" t="s">
        <v>2221</v>
      </c>
      <c r="G53" s="72">
        <v>405</v>
      </c>
      <c r="H53" s="73" t="s">
        <v>2222</v>
      </c>
    </row>
    <row r="54" spans="1:8" ht="14.1" customHeight="1" x14ac:dyDescent="0.25">
      <c r="A54" s="72">
        <v>46</v>
      </c>
      <c r="B54" s="73" t="s">
        <v>21</v>
      </c>
      <c r="D54" s="72">
        <v>232</v>
      </c>
      <c r="E54" s="73" t="s">
        <v>22</v>
      </c>
      <c r="G54" s="72">
        <v>406</v>
      </c>
      <c r="H54" s="73" t="s">
        <v>23</v>
      </c>
    </row>
    <row r="55" spans="1:8" ht="14.1" customHeight="1" x14ac:dyDescent="0.25">
      <c r="A55" s="72">
        <v>47</v>
      </c>
      <c r="B55" s="73" t="s">
        <v>24</v>
      </c>
      <c r="D55" s="72">
        <v>234</v>
      </c>
      <c r="E55" s="73" t="s">
        <v>25</v>
      </c>
      <c r="G55" s="72">
        <v>407</v>
      </c>
      <c r="H55" s="73" t="s">
        <v>26</v>
      </c>
    </row>
    <row r="56" spans="1:8" ht="14.1" customHeight="1" x14ac:dyDescent="0.25">
      <c r="A56" s="72">
        <v>48</v>
      </c>
      <c r="B56" s="73" t="s">
        <v>27</v>
      </c>
      <c r="D56" s="72">
        <v>235</v>
      </c>
      <c r="E56" s="73" t="s">
        <v>28</v>
      </c>
      <c r="G56" s="72">
        <v>409</v>
      </c>
      <c r="H56" s="73" t="s">
        <v>29</v>
      </c>
    </row>
    <row r="57" spans="1:8" ht="14.1" customHeight="1" x14ac:dyDescent="0.25">
      <c r="A57" s="72">
        <v>49</v>
      </c>
      <c r="B57" s="73" t="s">
        <v>30</v>
      </c>
      <c r="D57" s="72">
        <v>236</v>
      </c>
      <c r="E57" s="73" t="s">
        <v>31</v>
      </c>
      <c r="G57" s="72">
        <v>410</v>
      </c>
      <c r="H57" s="73" t="s">
        <v>32</v>
      </c>
    </row>
    <row r="58" spans="1:8" ht="14.1" customHeight="1" x14ac:dyDescent="0.25">
      <c r="A58" s="72">
        <v>50</v>
      </c>
      <c r="B58" s="73" t="s">
        <v>33</v>
      </c>
      <c r="D58" s="72">
        <v>237</v>
      </c>
      <c r="E58" s="73" t="s">
        <v>34</v>
      </c>
      <c r="G58" s="72">
        <v>411</v>
      </c>
      <c r="H58" s="73" t="s">
        <v>35</v>
      </c>
    </row>
    <row r="59" spans="1:8" ht="14.1" customHeight="1" x14ac:dyDescent="0.25">
      <c r="A59" s="72">
        <v>51</v>
      </c>
      <c r="B59" s="73" t="s">
        <v>36</v>
      </c>
      <c r="D59" s="72">
        <v>587</v>
      </c>
      <c r="E59" s="73" t="s">
        <v>37</v>
      </c>
      <c r="G59" s="72">
        <v>412</v>
      </c>
      <c r="H59" s="73" t="s">
        <v>38</v>
      </c>
    </row>
    <row r="60" spans="1:8" ht="14.1" customHeight="1" x14ac:dyDescent="0.25">
      <c r="A60" s="72">
        <v>52</v>
      </c>
      <c r="B60" s="73" t="s">
        <v>39</v>
      </c>
      <c r="D60" s="72">
        <v>624</v>
      </c>
      <c r="E60" s="73" t="s">
        <v>40</v>
      </c>
      <c r="G60" s="72">
        <v>413</v>
      </c>
      <c r="H60" s="73" t="s">
        <v>41</v>
      </c>
    </row>
    <row r="61" spans="1:8" ht="14.1" customHeight="1" x14ac:dyDescent="0.25">
      <c r="A61" s="72">
        <v>53</v>
      </c>
      <c r="B61" s="73" t="s">
        <v>42</v>
      </c>
      <c r="D61" s="72">
        <v>239</v>
      </c>
      <c r="E61" s="73" t="s">
        <v>43</v>
      </c>
      <c r="G61" s="72">
        <v>414</v>
      </c>
      <c r="H61" s="73" t="s">
        <v>44</v>
      </c>
    </row>
    <row r="62" spans="1:8" ht="14.1" customHeight="1" x14ac:dyDescent="0.25">
      <c r="A62" s="72">
        <v>54</v>
      </c>
      <c r="B62" s="73" t="s">
        <v>45</v>
      </c>
      <c r="D62" s="72">
        <v>240</v>
      </c>
      <c r="E62" s="73" t="s">
        <v>46</v>
      </c>
      <c r="G62" s="72">
        <v>415</v>
      </c>
      <c r="H62" s="73" t="s">
        <v>47</v>
      </c>
    </row>
    <row r="63" spans="1:8" ht="14.1" customHeight="1" x14ac:dyDescent="0.25">
      <c r="A63" s="72">
        <v>55</v>
      </c>
      <c r="B63" s="73" t="s">
        <v>48</v>
      </c>
      <c r="D63" s="72">
        <v>242</v>
      </c>
      <c r="E63" s="73" t="s">
        <v>49</v>
      </c>
      <c r="G63" s="72">
        <v>416</v>
      </c>
      <c r="H63" s="73" t="s">
        <v>50</v>
      </c>
    </row>
    <row r="64" spans="1:8" ht="14.1" customHeight="1" x14ac:dyDescent="0.25">
      <c r="A64" s="72">
        <v>56</v>
      </c>
      <c r="B64" s="73" t="s">
        <v>51</v>
      </c>
      <c r="D64" s="72">
        <v>243</v>
      </c>
      <c r="E64" s="73" t="s">
        <v>52</v>
      </c>
      <c r="G64" s="72">
        <v>418</v>
      </c>
      <c r="H64" s="73" t="s">
        <v>53</v>
      </c>
    </row>
    <row r="65" spans="1:8" ht="14.1" customHeight="1" x14ac:dyDescent="0.25">
      <c r="A65" s="72">
        <v>57</v>
      </c>
      <c r="B65" s="73" t="s">
        <v>54</v>
      </c>
      <c r="D65" s="72">
        <v>244</v>
      </c>
      <c r="E65" s="73" t="s">
        <v>55</v>
      </c>
      <c r="G65" s="72">
        <v>419</v>
      </c>
      <c r="H65" s="73" t="s">
        <v>56</v>
      </c>
    </row>
    <row r="66" spans="1:8" ht="14.1" customHeight="1" x14ac:dyDescent="0.25">
      <c r="A66" s="72">
        <v>58</v>
      </c>
      <c r="B66" s="73" t="s">
        <v>57</v>
      </c>
      <c r="D66" s="72">
        <v>548</v>
      </c>
      <c r="E66" s="73" t="s">
        <v>58</v>
      </c>
      <c r="G66" s="72">
        <v>606</v>
      </c>
      <c r="H66" s="73" t="s">
        <v>59</v>
      </c>
    </row>
    <row r="67" spans="1:8" ht="14.1" customHeight="1" x14ac:dyDescent="0.25">
      <c r="A67" s="72">
        <v>60</v>
      </c>
      <c r="B67" s="73" t="s">
        <v>60</v>
      </c>
      <c r="D67" s="72">
        <v>245</v>
      </c>
      <c r="E67" s="73" t="s">
        <v>61</v>
      </c>
      <c r="G67" s="72">
        <v>421</v>
      </c>
      <c r="H67" s="73" t="s">
        <v>62</v>
      </c>
    </row>
    <row r="68" spans="1:8" ht="14.1" customHeight="1" x14ac:dyDescent="0.25">
      <c r="A68" s="72">
        <v>61</v>
      </c>
      <c r="B68" s="73" t="s">
        <v>63</v>
      </c>
      <c r="D68" s="72">
        <v>600</v>
      </c>
      <c r="E68" s="73" t="s">
        <v>64</v>
      </c>
      <c r="G68" s="72">
        <v>422</v>
      </c>
      <c r="H68" s="73" t="s">
        <v>65</v>
      </c>
    </row>
    <row r="69" spans="1:8" ht="14.1" customHeight="1" x14ac:dyDescent="0.25">
      <c r="A69" s="72">
        <v>63</v>
      </c>
      <c r="B69" s="73" t="s">
        <v>66</v>
      </c>
      <c r="D69" s="72">
        <v>246</v>
      </c>
      <c r="E69" s="73" t="s">
        <v>67</v>
      </c>
      <c r="G69" s="72">
        <v>551</v>
      </c>
      <c r="H69" s="73" t="s">
        <v>68</v>
      </c>
    </row>
    <row r="70" spans="1:8" ht="14.1" customHeight="1" x14ac:dyDescent="0.25">
      <c r="A70" s="72">
        <v>64</v>
      </c>
      <c r="B70" s="73" t="s">
        <v>69</v>
      </c>
      <c r="D70" s="72">
        <v>247</v>
      </c>
      <c r="E70" s="73" t="s">
        <v>70</v>
      </c>
      <c r="G70" s="72">
        <v>423</v>
      </c>
      <c r="H70" s="73" t="s">
        <v>1398</v>
      </c>
    </row>
    <row r="71" spans="1:8" ht="14.1" customHeight="1" x14ac:dyDescent="0.25">
      <c r="A71" s="72">
        <v>65</v>
      </c>
      <c r="B71" s="73" t="s">
        <v>1399</v>
      </c>
      <c r="D71" s="72">
        <v>248</v>
      </c>
      <c r="E71" s="73" t="s">
        <v>1400</v>
      </c>
      <c r="G71" s="72">
        <v>424</v>
      </c>
      <c r="H71" s="73" t="s">
        <v>1401</v>
      </c>
    </row>
    <row r="72" spans="1:8" ht="14.1" customHeight="1" x14ac:dyDescent="0.25">
      <c r="A72" s="72">
        <v>66</v>
      </c>
      <c r="B72" s="73" t="s">
        <v>1402</v>
      </c>
      <c r="D72" s="72">
        <v>578</v>
      </c>
      <c r="E72" s="73" t="s">
        <v>1403</v>
      </c>
      <c r="G72" s="72">
        <v>425</v>
      </c>
      <c r="H72" s="73" t="s">
        <v>1404</v>
      </c>
    </row>
    <row r="73" spans="1:8" ht="14.1" customHeight="1" x14ac:dyDescent="0.25">
      <c r="A73" s="72">
        <v>67</v>
      </c>
      <c r="B73" s="73" t="s">
        <v>1405</v>
      </c>
      <c r="D73" s="72">
        <v>555</v>
      </c>
      <c r="E73" s="73" t="s">
        <v>1406</v>
      </c>
      <c r="G73" s="72">
        <v>426</v>
      </c>
      <c r="H73" s="73" t="s">
        <v>1407</v>
      </c>
    </row>
    <row r="74" spans="1:8" ht="14.1" customHeight="1" x14ac:dyDescent="0.25">
      <c r="A74" s="72">
        <v>68</v>
      </c>
      <c r="B74" s="73" t="s">
        <v>1408</v>
      </c>
      <c r="D74" s="72">
        <v>249</v>
      </c>
      <c r="E74" s="73" t="s">
        <v>1409</v>
      </c>
      <c r="G74" s="72">
        <v>427</v>
      </c>
      <c r="H74" s="73" t="s">
        <v>1410</v>
      </c>
    </row>
    <row r="75" spans="1:8" ht="14.1" customHeight="1" x14ac:dyDescent="0.25">
      <c r="A75" s="72">
        <v>603</v>
      </c>
      <c r="B75" s="73" t="s">
        <v>1411</v>
      </c>
      <c r="D75" s="72">
        <v>250</v>
      </c>
      <c r="E75" s="73" t="s">
        <v>1412</v>
      </c>
      <c r="G75" s="72">
        <v>592</v>
      </c>
      <c r="H75" s="73" t="s">
        <v>1413</v>
      </c>
    </row>
    <row r="76" spans="1:8" ht="14.1" customHeight="1" x14ac:dyDescent="0.25">
      <c r="A76" s="72">
        <v>69</v>
      </c>
      <c r="B76" s="73" t="s">
        <v>1414</v>
      </c>
      <c r="D76" s="72">
        <v>251</v>
      </c>
      <c r="E76" s="73" t="s">
        <v>1415</v>
      </c>
      <c r="G76" s="72">
        <v>607</v>
      </c>
      <c r="H76" s="73" t="s">
        <v>1416</v>
      </c>
    </row>
    <row r="77" spans="1:8" ht="14.1" customHeight="1" x14ac:dyDescent="0.25">
      <c r="A77" s="72">
        <v>70</v>
      </c>
      <c r="B77" s="73" t="s">
        <v>1417</v>
      </c>
      <c r="D77" s="72">
        <v>252</v>
      </c>
      <c r="E77" s="73" t="s">
        <v>1418</v>
      </c>
      <c r="G77" s="72">
        <v>432</v>
      </c>
      <c r="H77" s="73" t="s">
        <v>1419</v>
      </c>
    </row>
    <row r="78" spans="1:8" ht="14.1" customHeight="1" x14ac:dyDescent="0.25">
      <c r="A78" s="72">
        <v>71</v>
      </c>
      <c r="B78" s="73" t="s">
        <v>1420</v>
      </c>
      <c r="D78" s="72">
        <v>253</v>
      </c>
      <c r="E78" s="73" t="s">
        <v>1421</v>
      </c>
      <c r="G78" s="72">
        <v>436</v>
      </c>
      <c r="H78" s="73" t="s">
        <v>1419</v>
      </c>
    </row>
    <row r="79" spans="1:8" ht="14.1" customHeight="1" x14ac:dyDescent="0.25">
      <c r="A79" s="72">
        <v>72</v>
      </c>
      <c r="B79" s="73" t="s">
        <v>1422</v>
      </c>
      <c r="D79" s="72">
        <v>254</v>
      </c>
      <c r="E79" s="73" t="s">
        <v>1423</v>
      </c>
      <c r="G79" s="72">
        <v>437</v>
      </c>
      <c r="H79" s="73" t="s">
        <v>1424</v>
      </c>
    </row>
    <row r="80" spans="1:8" ht="14.1" customHeight="1" x14ac:dyDescent="0.25">
      <c r="A80" s="72">
        <v>74</v>
      </c>
      <c r="B80" s="73" t="s">
        <v>1425</v>
      </c>
      <c r="D80" s="72">
        <v>256</v>
      </c>
      <c r="E80" s="73" t="s">
        <v>1426</v>
      </c>
      <c r="G80" s="72">
        <v>428</v>
      </c>
      <c r="H80" s="73" t="s">
        <v>1427</v>
      </c>
    </row>
    <row r="81" spans="1:8" ht="14.1" customHeight="1" x14ac:dyDescent="0.25">
      <c r="A81" s="72">
        <v>75</v>
      </c>
      <c r="B81" s="73" t="s">
        <v>1428</v>
      </c>
      <c r="D81" s="72">
        <v>539</v>
      </c>
      <c r="E81" s="73" t="s">
        <v>1429</v>
      </c>
      <c r="G81" s="72">
        <v>438</v>
      </c>
      <c r="H81" s="73" t="s">
        <v>1430</v>
      </c>
    </row>
    <row r="82" spans="1:8" ht="14.1" customHeight="1" x14ac:dyDescent="0.25">
      <c r="A82" s="72">
        <v>78</v>
      </c>
      <c r="B82" s="73" t="s">
        <v>1431</v>
      </c>
      <c r="D82" s="72">
        <v>257</v>
      </c>
      <c r="E82" s="73" t="s">
        <v>1432</v>
      </c>
      <c r="G82" s="72">
        <v>429</v>
      </c>
      <c r="H82" s="73" t="s">
        <v>1433</v>
      </c>
    </row>
    <row r="83" spans="1:8" ht="14.1" customHeight="1" x14ac:dyDescent="0.25">
      <c r="A83" s="72">
        <v>576</v>
      </c>
      <c r="B83" s="73" t="s">
        <v>850</v>
      </c>
      <c r="D83" s="72">
        <v>258</v>
      </c>
      <c r="E83" s="73" t="s">
        <v>851</v>
      </c>
      <c r="G83" s="72">
        <v>439</v>
      </c>
      <c r="H83" s="73" t="s">
        <v>852</v>
      </c>
    </row>
    <row r="84" spans="1:8" ht="14.1" customHeight="1" x14ac:dyDescent="0.25">
      <c r="A84" s="72">
        <v>79</v>
      </c>
      <c r="B84" s="73" t="s">
        <v>853</v>
      </c>
      <c r="D84" s="72">
        <v>610</v>
      </c>
      <c r="E84" s="73" t="s">
        <v>854</v>
      </c>
      <c r="G84" s="72">
        <v>440</v>
      </c>
      <c r="H84" s="73" t="s">
        <v>855</v>
      </c>
    </row>
    <row r="85" spans="1:8" ht="14.1" customHeight="1" x14ac:dyDescent="0.25">
      <c r="A85" s="72">
        <v>80</v>
      </c>
      <c r="B85" s="73" t="s">
        <v>856</v>
      </c>
      <c r="D85" s="72">
        <v>259</v>
      </c>
      <c r="E85" s="73" t="s">
        <v>857</v>
      </c>
      <c r="G85" s="72">
        <v>430</v>
      </c>
      <c r="H85" s="73" t="s">
        <v>858</v>
      </c>
    </row>
    <row r="86" spans="1:8" ht="14.1" customHeight="1" x14ac:dyDescent="0.25">
      <c r="A86" s="72">
        <v>81</v>
      </c>
      <c r="B86" s="73" t="s">
        <v>859</v>
      </c>
      <c r="D86" s="72">
        <v>260</v>
      </c>
      <c r="E86" s="73" t="s">
        <v>860</v>
      </c>
      <c r="G86" s="72">
        <v>431</v>
      </c>
      <c r="H86" s="73" t="s">
        <v>861</v>
      </c>
    </row>
    <row r="87" spans="1:8" ht="14.1" customHeight="1" x14ac:dyDescent="0.25">
      <c r="A87" s="72">
        <v>82</v>
      </c>
      <c r="B87" s="73" t="s">
        <v>862</v>
      </c>
      <c r="D87" s="72">
        <v>261</v>
      </c>
      <c r="E87" s="73" t="s">
        <v>863</v>
      </c>
      <c r="G87" s="72">
        <v>441</v>
      </c>
      <c r="H87" s="73" t="s">
        <v>864</v>
      </c>
    </row>
    <row r="88" spans="1:8" ht="14.1" customHeight="1" x14ac:dyDescent="0.25">
      <c r="A88" s="72">
        <v>83</v>
      </c>
      <c r="B88" s="73" t="s">
        <v>865</v>
      </c>
      <c r="D88" s="72">
        <v>263</v>
      </c>
      <c r="E88" s="73" t="s">
        <v>866</v>
      </c>
      <c r="G88" s="72">
        <v>442</v>
      </c>
      <c r="H88" s="73" t="s">
        <v>867</v>
      </c>
    </row>
    <row r="89" spans="1:8" ht="14.1" customHeight="1" x14ac:dyDescent="0.25">
      <c r="A89" s="72">
        <v>84</v>
      </c>
      <c r="B89" s="73" t="s">
        <v>868</v>
      </c>
      <c r="D89" s="72">
        <v>264</v>
      </c>
      <c r="E89" s="73" t="s">
        <v>869</v>
      </c>
      <c r="G89" s="72">
        <v>433</v>
      </c>
      <c r="H89" s="73" t="s">
        <v>870</v>
      </c>
    </row>
    <row r="90" spans="1:8" ht="14.1" customHeight="1" x14ac:dyDescent="0.25">
      <c r="A90" s="72">
        <v>85</v>
      </c>
      <c r="B90" s="73" t="s">
        <v>871</v>
      </c>
      <c r="D90" s="72">
        <v>265</v>
      </c>
      <c r="E90" s="73" t="s">
        <v>620</v>
      </c>
      <c r="G90" s="72">
        <v>435</v>
      </c>
      <c r="H90" s="73" t="s">
        <v>621</v>
      </c>
    </row>
    <row r="91" spans="1:8" ht="14.1" customHeight="1" x14ac:dyDescent="0.25">
      <c r="A91" s="72">
        <v>86</v>
      </c>
      <c r="B91" s="73" t="s">
        <v>622</v>
      </c>
      <c r="D91" s="72">
        <v>266</v>
      </c>
      <c r="E91" s="73" t="s">
        <v>623</v>
      </c>
      <c r="G91" s="72">
        <v>564</v>
      </c>
      <c r="H91" s="73" t="s">
        <v>624</v>
      </c>
    </row>
    <row r="92" spans="1:8" ht="14.1" customHeight="1" x14ac:dyDescent="0.25">
      <c r="A92" s="72">
        <v>89</v>
      </c>
      <c r="B92" s="73" t="s">
        <v>625</v>
      </c>
      <c r="D92" s="72">
        <v>267</v>
      </c>
      <c r="E92" s="73" t="s">
        <v>626</v>
      </c>
      <c r="G92" s="72">
        <v>608</v>
      </c>
      <c r="H92" s="73" t="s">
        <v>627</v>
      </c>
    </row>
    <row r="93" spans="1:8" ht="14.1" customHeight="1" x14ac:dyDescent="0.25">
      <c r="A93" s="72">
        <v>568</v>
      </c>
      <c r="B93" s="73" t="s">
        <v>628</v>
      </c>
      <c r="D93" s="72">
        <v>268</v>
      </c>
      <c r="E93" s="73" t="s">
        <v>997</v>
      </c>
      <c r="G93" s="72">
        <v>443</v>
      </c>
      <c r="H93" s="73" t="s">
        <v>998</v>
      </c>
    </row>
    <row r="94" spans="1:8" ht="14.1" customHeight="1" x14ac:dyDescent="0.25">
      <c r="A94" s="72">
        <v>90</v>
      </c>
      <c r="B94" s="73" t="s">
        <v>999</v>
      </c>
      <c r="D94" s="72">
        <v>270</v>
      </c>
      <c r="E94" s="73" t="s">
        <v>1000</v>
      </c>
      <c r="G94" s="72">
        <v>444</v>
      </c>
      <c r="H94" s="73" t="s">
        <v>1001</v>
      </c>
    </row>
    <row r="95" spans="1:8" ht="14.1" customHeight="1" x14ac:dyDescent="0.25">
      <c r="A95" s="72">
        <v>91</v>
      </c>
      <c r="B95" s="73" t="s">
        <v>1002</v>
      </c>
      <c r="D95" s="72">
        <v>273</v>
      </c>
      <c r="E95" s="73" t="s">
        <v>1003</v>
      </c>
      <c r="G95" s="72">
        <v>445</v>
      </c>
      <c r="H95" s="73" t="s">
        <v>1004</v>
      </c>
    </row>
    <row r="96" spans="1:8" ht="14.1" customHeight="1" x14ac:dyDescent="0.25">
      <c r="A96" s="72">
        <v>92</v>
      </c>
      <c r="B96" s="73" t="s">
        <v>1005</v>
      </c>
      <c r="D96" s="72">
        <v>274</v>
      </c>
      <c r="E96" s="73" t="s">
        <v>1006</v>
      </c>
      <c r="G96" s="72">
        <v>614</v>
      </c>
      <c r="H96" s="73" t="s">
        <v>1007</v>
      </c>
    </row>
    <row r="97" spans="1:8" ht="14.1" customHeight="1" x14ac:dyDescent="0.25">
      <c r="A97" s="72">
        <v>94</v>
      </c>
      <c r="B97" s="73" t="s">
        <v>1008</v>
      </c>
      <c r="D97" s="72">
        <v>275</v>
      </c>
      <c r="E97" s="73" t="s">
        <v>1009</v>
      </c>
      <c r="G97" s="72">
        <v>447</v>
      </c>
      <c r="H97" s="73" t="s">
        <v>1010</v>
      </c>
    </row>
    <row r="98" spans="1:8" ht="14.1" customHeight="1" x14ac:dyDescent="0.25">
      <c r="A98" s="72">
        <v>95</v>
      </c>
      <c r="B98" s="73" t="s">
        <v>1011</v>
      </c>
      <c r="D98" s="72">
        <v>87</v>
      </c>
      <c r="E98" s="73" t="s">
        <v>1012</v>
      </c>
      <c r="G98" s="72">
        <v>449</v>
      </c>
      <c r="H98" s="73" t="s">
        <v>1013</v>
      </c>
    </row>
    <row r="99" spans="1:8" ht="14.1" customHeight="1" x14ac:dyDescent="0.25">
      <c r="A99" s="72">
        <v>96</v>
      </c>
      <c r="B99" s="73" t="s">
        <v>1014</v>
      </c>
      <c r="D99" s="72">
        <v>276</v>
      </c>
      <c r="E99" s="73" t="s">
        <v>1015</v>
      </c>
      <c r="G99" s="72">
        <v>450</v>
      </c>
      <c r="H99" s="73" t="s">
        <v>1016</v>
      </c>
    </row>
    <row r="100" spans="1:8" ht="14.1" customHeight="1" x14ac:dyDescent="0.25">
      <c r="A100" s="72">
        <v>97</v>
      </c>
      <c r="B100" s="73" t="s">
        <v>1017</v>
      </c>
      <c r="D100" s="72">
        <v>617</v>
      </c>
      <c r="E100" s="73" t="s">
        <v>1018</v>
      </c>
      <c r="G100" s="72">
        <v>628</v>
      </c>
      <c r="H100" s="73" t="s">
        <v>2539</v>
      </c>
    </row>
    <row r="101" spans="1:8" ht="14.1" customHeight="1" x14ac:dyDescent="0.25">
      <c r="A101" s="72">
        <v>549</v>
      </c>
      <c r="B101" s="73" t="s">
        <v>2540</v>
      </c>
      <c r="D101" s="72">
        <v>278</v>
      </c>
      <c r="E101" s="73" t="s">
        <v>2541</v>
      </c>
      <c r="G101" s="72">
        <v>452</v>
      </c>
      <c r="H101" s="73" t="s">
        <v>2542</v>
      </c>
    </row>
    <row r="102" spans="1:8" ht="14.1" customHeight="1" x14ac:dyDescent="0.25">
      <c r="A102" s="72">
        <v>598</v>
      </c>
      <c r="B102" s="73" t="s">
        <v>2543</v>
      </c>
      <c r="D102" s="72">
        <v>279</v>
      </c>
      <c r="E102" s="73" t="s">
        <v>2544</v>
      </c>
      <c r="G102" s="72">
        <v>631</v>
      </c>
      <c r="H102" s="73" t="s">
        <v>2545</v>
      </c>
    </row>
    <row r="103" spans="1:8" ht="14.1" customHeight="1" x14ac:dyDescent="0.25">
      <c r="A103" s="72">
        <v>98</v>
      </c>
      <c r="B103" s="73" t="s">
        <v>2546</v>
      </c>
      <c r="D103" s="72">
        <v>612</v>
      </c>
      <c r="E103" s="73" t="s">
        <v>2547</v>
      </c>
      <c r="G103" s="72">
        <v>453</v>
      </c>
      <c r="H103" s="73" t="s">
        <v>2548</v>
      </c>
    </row>
    <row r="104" spans="1:8" ht="14.1" customHeight="1" x14ac:dyDescent="0.25">
      <c r="A104" s="72">
        <v>99</v>
      </c>
      <c r="B104" s="73" t="s">
        <v>2549</v>
      </c>
      <c r="D104" s="72">
        <v>280</v>
      </c>
      <c r="E104" s="73" t="s">
        <v>2550</v>
      </c>
      <c r="G104" s="72">
        <v>454</v>
      </c>
      <c r="H104" s="73" t="s">
        <v>2551</v>
      </c>
    </row>
    <row r="105" spans="1:8" ht="14.1" customHeight="1" x14ac:dyDescent="0.25">
      <c r="A105" s="72">
        <v>100</v>
      </c>
      <c r="B105" s="73" t="s">
        <v>2552</v>
      </c>
      <c r="D105" s="72">
        <v>281</v>
      </c>
      <c r="E105" s="73" t="s">
        <v>2553</v>
      </c>
      <c r="G105" s="72">
        <v>575</v>
      </c>
      <c r="H105" s="73" t="s">
        <v>2554</v>
      </c>
    </row>
    <row r="106" spans="1:8" ht="14.1" customHeight="1" x14ac:dyDescent="0.25">
      <c r="A106" s="72">
        <v>101</v>
      </c>
      <c r="B106" s="73" t="s">
        <v>2555</v>
      </c>
      <c r="D106" s="72">
        <v>295</v>
      </c>
      <c r="E106" s="73" t="s">
        <v>2556</v>
      </c>
      <c r="G106" s="72">
        <v>456</v>
      </c>
      <c r="H106" s="73" t="s">
        <v>2557</v>
      </c>
    </row>
    <row r="107" spans="1:8" ht="14.1" customHeight="1" x14ac:dyDescent="0.25">
      <c r="A107" s="72">
        <v>585</v>
      </c>
      <c r="B107" s="73" t="s">
        <v>2558</v>
      </c>
      <c r="D107" s="72">
        <v>282</v>
      </c>
      <c r="E107" s="73" t="s">
        <v>2559</v>
      </c>
      <c r="G107" s="72">
        <v>457</v>
      </c>
      <c r="H107" s="73" t="s">
        <v>2560</v>
      </c>
    </row>
    <row r="108" spans="1:8" ht="14.1" customHeight="1" x14ac:dyDescent="0.25">
      <c r="A108" s="72">
        <v>102</v>
      </c>
      <c r="B108" s="73" t="s">
        <v>2561</v>
      </c>
      <c r="D108" s="72">
        <v>283</v>
      </c>
      <c r="E108" s="73" t="s">
        <v>2562</v>
      </c>
      <c r="G108" s="72">
        <v>458</v>
      </c>
      <c r="H108" s="73" t="s">
        <v>2563</v>
      </c>
    </row>
    <row r="109" spans="1:8" ht="14.1" customHeight="1" x14ac:dyDescent="0.25">
      <c r="A109" s="72">
        <v>103</v>
      </c>
      <c r="B109" s="73" t="s">
        <v>2564</v>
      </c>
      <c r="D109" s="72">
        <v>284</v>
      </c>
      <c r="E109" s="73" t="s">
        <v>2565</v>
      </c>
      <c r="G109" s="72">
        <v>557</v>
      </c>
      <c r="H109" s="73" t="s">
        <v>2566</v>
      </c>
    </row>
    <row r="110" spans="1:8" ht="14.1" customHeight="1" x14ac:dyDescent="0.25">
      <c r="A110" s="72">
        <v>104</v>
      </c>
      <c r="B110" s="73" t="s">
        <v>2567</v>
      </c>
      <c r="D110" s="72">
        <v>285</v>
      </c>
      <c r="E110" s="73" t="s">
        <v>2568</v>
      </c>
      <c r="G110" s="72">
        <v>459</v>
      </c>
      <c r="H110" s="73" t="s">
        <v>2569</v>
      </c>
    </row>
    <row r="111" spans="1:8" ht="14.1" customHeight="1" x14ac:dyDescent="0.25">
      <c r="A111" s="72">
        <v>105</v>
      </c>
      <c r="B111" s="73" t="s">
        <v>2570</v>
      </c>
      <c r="D111" s="72">
        <v>287</v>
      </c>
      <c r="E111" s="73" t="s">
        <v>2571</v>
      </c>
      <c r="G111" s="72">
        <v>626</v>
      </c>
      <c r="H111" s="73" t="s">
        <v>2572</v>
      </c>
    </row>
    <row r="112" spans="1:8" ht="14.1" customHeight="1" x14ac:dyDescent="0.25">
      <c r="A112" s="72">
        <v>106</v>
      </c>
      <c r="B112" s="73" t="s">
        <v>3659</v>
      </c>
      <c r="D112" s="72">
        <v>288</v>
      </c>
      <c r="E112" s="73" t="s">
        <v>3660</v>
      </c>
      <c r="G112" s="72">
        <v>460</v>
      </c>
      <c r="H112" s="73" t="s">
        <v>3661</v>
      </c>
    </row>
    <row r="113" spans="1:8" ht="14.1" customHeight="1" x14ac:dyDescent="0.25">
      <c r="A113" s="72">
        <v>107</v>
      </c>
      <c r="B113" s="73" t="s">
        <v>3662</v>
      </c>
      <c r="D113" s="72">
        <v>554</v>
      </c>
      <c r="E113" s="73" t="s">
        <v>3663</v>
      </c>
      <c r="G113" s="72">
        <v>461</v>
      </c>
      <c r="H113" s="73" t="s">
        <v>3664</v>
      </c>
    </row>
    <row r="114" spans="1:8" ht="14.1" customHeight="1" x14ac:dyDescent="0.25">
      <c r="A114" s="72">
        <v>108</v>
      </c>
      <c r="B114" s="73" t="s">
        <v>3665</v>
      </c>
      <c r="D114" s="72">
        <v>289</v>
      </c>
      <c r="E114" s="73" t="s">
        <v>3666</v>
      </c>
      <c r="G114" s="72">
        <v>462</v>
      </c>
      <c r="H114" s="73" t="s">
        <v>3667</v>
      </c>
    </row>
    <row r="115" spans="1:8" ht="14.1" customHeight="1" x14ac:dyDescent="0.25">
      <c r="A115" s="72">
        <v>110</v>
      </c>
      <c r="B115" s="73" t="s">
        <v>3668</v>
      </c>
      <c r="D115" s="72">
        <v>290</v>
      </c>
      <c r="E115" s="73" t="s">
        <v>3669</v>
      </c>
      <c r="G115" s="72">
        <v>463</v>
      </c>
      <c r="H115" s="73" t="s">
        <v>3670</v>
      </c>
    </row>
    <row r="116" spans="1:8" ht="14.1" customHeight="1" x14ac:dyDescent="0.25">
      <c r="A116" s="72">
        <v>111</v>
      </c>
      <c r="B116" s="73" t="s">
        <v>3671</v>
      </c>
      <c r="D116" s="72">
        <v>537</v>
      </c>
      <c r="E116" s="73" t="s">
        <v>3672</v>
      </c>
      <c r="G116" s="72">
        <v>601</v>
      </c>
      <c r="H116" s="73" t="s">
        <v>3673</v>
      </c>
    </row>
    <row r="117" spans="1:8" ht="14.1" customHeight="1" x14ac:dyDescent="0.25">
      <c r="A117" s="72">
        <v>113</v>
      </c>
      <c r="B117" s="73" t="s">
        <v>3674</v>
      </c>
      <c r="D117" s="72">
        <v>291</v>
      </c>
      <c r="E117" s="73" t="s">
        <v>3672</v>
      </c>
      <c r="G117" s="72">
        <v>464</v>
      </c>
      <c r="H117" s="73" t="s">
        <v>3675</v>
      </c>
    </row>
    <row r="118" spans="1:8" ht="14.1" customHeight="1" x14ac:dyDescent="0.25">
      <c r="A118" s="72">
        <v>114</v>
      </c>
      <c r="B118" s="73" t="s">
        <v>3676</v>
      </c>
      <c r="D118" s="72">
        <v>292</v>
      </c>
      <c r="E118" s="73" t="s">
        <v>3677</v>
      </c>
      <c r="G118" s="72">
        <v>593</v>
      </c>
      <c r="H118" s="73" t="s">
        <v>3678</v>
      </c>
    </row>
    <row r="119" spans="1:8" ht="14.1" customHeight="1" x14ac:dyDescent="0.25">
      <c r="A119" s="72">
        <v>619</v>
      </c>
      <c r="B119" s="73" t="s">
        <v>3679</v>
      </c>
      <c r="D119" s="72">
        <v>561</v>
      </c>
      <c r="E119" s="73" t="s">
        <v>3680</v>
      </c>
      <c r="G119" s="72">
        <v>466</v>
      </c>
      <c r="H119" s="73" t="s">
        <v>3681</v>
      </c>
    </row>
    <row r="120" spans="1:8" ht="14.1" customHeight="1" x14ac:dyDescent="0.25">
      <c r="A120" s="72">
        <v>115</v>
      </c>
      <c r="B120" s="73" t="s">
        <v>3682</v>
      </c>
      <c r="D120" s="72">
        <v>293</v>
      </c>
      <c r="E120" s="73" t="s">
        <v>3683</v>
      </c>
      <c r="G120" s="72">
        <v>467</v>
      </c>
      <c r="H120" s="73" t="s">
        <v>3684</v>
      </c>
    </row>
    <row r="121" spans="1:8" ht="14.1" customHeight="1" x14ac:dyDescent="0.25">
      <c r="A121" s="72">
        <v>116</v>
      </c>
      <c r="B121" s="73" t="s">
        <v>3685</v>
      </c>
      <c r="D121" s="72">
        <v>294</v>
      </c>
      <c r="E121" s="73" t="s">
        <v>294</v>
      </c>
      <c r="G121" s="72">
        <v>468</v>
      </c>
      <c r="H121" s="73" t="s">
        <v>295</v>
      </c>
    </row>
    <row r="122" spans="1:8" ht="14.1" customHeight="1" x14ac:dyDescent="0.25">
      <c r="A122" s="72">
        <v>629</v>
      </c>
      <c r="B122" s="73" t="s">
        <v>296</v>
      </c>
      <c r="D122" s="72">
        <v>296</v>
      </c>
      <c r="E122" s="73" t="s">
        <v>297</v>
      </c>
      <c r="G122" s="72">
        <v>469</v>
      </c>
      <c r="H122" s="73" t="s">
        <v>298</v>
      </c>
    </row>
    <row r="123" spans="1:8" ht="14.1" customHeight="1" x14ac:dyDescent="0.25">
      <c r="A123" s="72">
        <v>117</v>
      </c>
      <c r="B123" s="73" t="s">
        <v>299</v>
      </c>
      <c r="D123" s="72">
        <v>297</v>
      </c>
      <c r="E123" s="73" t="s">
        <v>300</v>
      </c>
      <c r="G123" s="72">
        <v>471</v>
      </c>
      <c r="H123" s="73" t="s">
        <v>301</v>
      </c>
    </row>
    <row r="124" spans="1:8" ht="14.1" customHeight="1" x14ac:dyDescent="0.25">
      <c r="A124" s="72">
        <v>571</v>
      </c>
      <c r="B124" s="73" t="s">
        <v>1178</v>
      </c>
      <c r="D124" s="72">
        <v>588</v>
      </c>
      <c r="E124" s="73" t="s">
        <v>1179</v>
      </c>
      <c r="G124" s="72">
        <v>472</v>
      </c>
      <c r="H124" s="73" t="s">
        <v>1180</v>
      </c>
    </row>
    <row r="125" spans="1:8" ht="14.1" customHeight="1" x14ac:dyDescent="0.25">
      <c r="A125" s="72">
        <v>118</v>
      </c>
      <c r="B125" s="73" t="s">
        <v>1181</v>
      </c>
      <c r="D125" s="72">
        <v>299</v>
      </c>
      <c r="E125" s="73" t="s">
        <v>1182</v>
      </c>
      <c r="G125" s="72">
        <v>473</v>
      </c>
      <c r="H125" s="73" t="s">
        <v>1183</v>
      </c>
    </row>
    <row r="126" spans="1:8" ht="14.1" customHeight="1" x14ac:dyDescent="0.25">
      <c r="A126" s="72">
        <v>119</v>
      </c>
      <c r="B126" s="73" t="s">
        <v>1184</v>
      </c>
      <c r="D126" s="72">
        <v>300</v>
      </c>
      <c r="E126" s="73" t="s">
        <v>1185</v>
      </c>
      <c r="G126" s="72">
        <v>474</v>
      </c>
      <c r="H126" s="73" t="s">
        <v>1186</v>
      </c>
    </row>
    <row r="127" spans="1:8" ht="14.1" customHeight="1" x14ac:dyDescent="0.25">
      <c r="A127" s="72">
        <v>120</v>
      </c>
      <c r="B127" s="73" t="s">
        <v>1187</v>
      </c>
      <c r="D127" s="72">
        <v>301</v>
      </c>
      <c r="E127" s="73" t="s">
        <v>1188</v>
      </c>
      <c r="G127" s="72">
        <v>475</v>
      </c>
      <c r="H127" s="73" t="s">
        <v>1189</v>
      </c>
    </row>
    <row r="128" spans="1:8" ht="14.1" customHeight="1" x14ac:dyDescent="0.25">
      <c r="A128" s="72">
        <v>121</v>
      </c>
      <c r="B128" s="73" t="s">
        <v>1190</v>
      </c>
      <c r="D128" s="72">
        <v>302</v>
      </c>
      <c r="E128" s="73" t="s">
        <v>1191</v>
      </c>
      <c r="G128" s="72">
        <v>541</v>
      </c>
      <c r="H128" s="73" t="s">
        <v>1192</v>
      </c>
    </row>
    <row r="129" spans="1:8" ht="14.1" customHeight="1" x14ac:dyDescent="0.25">
      <c r="A129" s="72">
        <v>122</v>
      </c>
      <c r="B129" s="73" t="s">
        <v>1193</v>
      </c>
      <c r="D129" s="72">
        <v>303</v>
      </c>
      <c r="E129" s="73" t="s">
        <v>1194</v>
      </c>
      <c r="G129" s="72">
        <v>476</v>
      </c>
      <c r="H129" s="73" t="s">
        <v>1195</v>
      </c>
    </row>
    <row r="130" spans="1:8" ht="14.1" customHeight="1" x14ac:dyDescent="0.25">
      <c r="A130" s="72">
        <v>123</v>
      </c>
      <c r="B130" s="73" t="s">
        <v>1196</v>
      </c>
      <c r="D130" s="72">
        <v>304</v>
      </c>
      <c r="E130" s="73" t="s">
        <v>1197</v>
      </c>
      <c r="G130" s="72">
        <v>477</v>
      </c>
      <c r="H130" s="73" t="s">
        <v>1198</v>
      </c>
    </row>
    <row r="131" spans="1:8" ht="14.1" customHeight="1" x14ac:dyDescent="0.25">
      <c r="A131" s="72">
        <v>124</v>
      </c>
      <c r="B131" s="73" t="s">
        <v>1199</v>
      </c>
      <c r="D131" s="72">
        <v>306</v>
      </c>
      <c r="E131" s="73" t="s">
        <v>1200</v>
      </c>
      <c r="G131" s="72">
        <v>478</v>
      </c>
      <c r="H131" s="73" t="s">
        <v>1201</v>
      </c>
    </row>
    <row r="132" spans="1:8" ht="14.1" customHeight="1" x14ac:dyDescent="0.25">
      <c r="A132" s="72">
        <v>618</v>
      </c>
      <c r="B132" s="73" t="s">
        <v>1202</v>
      </c>
      <c r="D132" s="72">
        <v>307</v>
      </c>
      <c r="E132" s="73" t="s">
        <v>1203</v>
      </c>
      <c r="G132" s="72">
        <v>565</v>
      </c>
      <c r="H132" s="73" t="s">
        <v>1204</v>
      </c>
    </row>
    <row r="133" spans="1:8" ht="14.1" customHeight="1" x14ac:dyDescent="0.25">
      <c r="A133" s="72">
        <v>125</v>
      </c>
      <c r="B133" s="73" t="s">
        <v>1205</v>
      </c>
      <c r="D133" s="72">
        <v>308</v>
      </c>
      <c r="E133" s="73" t="s">
        <v>1206</v>
      </c>
      <c r="G133" s="72">
        <v>558</v>
      </c>
      <c r="H133" s="73" t="s">
        <v>1207</v>
      </c>
    </row>
    <row r="134" spans="1:8" ht="14.1" customHeight="1" x14ac:dyDescent="0.25">
      <c r="A134" s="72">
        <v>569</v>
      </c>
      <c r="B134" s="73" t="s">
        <v>1208</v>
      </c>
      <c r="D134" s="72">
        <v>605</v>
      </c>
      <c r="E134" s="73" t="s">
        <v>1209</v>
      </c>
      <c r="G134" s="72">
        <v>480</v>
      </c>
      <c r="H134" s="73" t="s">
        <v>1210</v>
      </c>
    </row>
    <row r="135" spans="1:8" ht="14.1" customHeight="1" x14ac:dyDescent="0.25">
      <c r="A135" s="74">
        <v>127</v>
      </c>
      <c r="B135" s="75" t="s">
        <v>1211</v>
      </c>
      <c r="D135" s="74">
        <v>309</v>
      </c>
      <c r="E135" s="75" t="s">
        <v>1212</v>
      </c>
      <c r="G135" s="74">
        <v>481</v>
      </c>
      <c r="H135" s="75" t="s">
        <v>1213</v>
      </c>
    </row>
    <row r="136" spans="1:8" ht="14.1" customHeight="1" x14ac:dyDescent="0.25">
      <c r="A136" s="74">
        <v>129</v>
      </c>
      <c r="B136" s="75" t="s">
        <v>1214</v>
      </c>
      <c r="D136" s="74">
        <v>542</v>
      </c>
      <c r="E136" s="75" t="s">
        <v>1215</v>
      </c>
      <c r="G136" s="74">
        <v>483</v>
      </c>
      <c r="H136" s="75" t="s">
        <v>1216</v>
      </c>
    </row>
    <row r="137" spans="1:8" ht="14.1" customHeight="1" x14ac:dyDescent="0.25">
      <c r="A137" s="74">
        <v>604</v>
      </c>
      <c r="B137" s="75" t="s">
        <v>1217</v>
      </c>
      <c r="D137" s="74">
        <v>311</v>
      </c>
      <c r="E137" s="75" t="s">
        <v>1218</v>
      </c>
      <c r="G137" s="74">
        <v>484</v>
      </c>
      <c r="H137" s="75" t="s">
        <v>1219</v>
      </c>
    </row>
    <row r="138" spans="1:8" ht="14.1" customHeight="1" x14ac:dyDescent="0.25">
      <c r="A138" s="74">
        <v>130</v>
      </c>
      <c r="B138" s="75" t="s">
        <v>1220</v>
      </c>
      <c r="D138" s="74">
        <v>312</v>
      </c>
      <c r="E138" s="75" t="s">
        <v>1221</v>
      </c>
      <c r="G138" s="74">
        <v>485</v>
      </c>
      <c r="H138" s="75" t="s">
        <v>3145</v>
      </c>
    </row>
    <row r="139" spans="1:8" ht="14.1" customHeight="1" x14ac:dyDescent="0.25">
      <c r="A139" s="74">
        <v>131</v>
      </c>
      <c r="B139" s="75" t="s">
        <v>3146</v>
      </c>
      <c r="D139" s="74">
        <v>313</v>
      </c>
      <c r="E139" s="75" t="s">
        <v>3147</v>
      </c>
      <c r="G139" s="74">
        <v>486</v>
      </c>
      <c r="H139" s="75" t="s">
        <v>3148</v>
      </c>
    </row>
    <row r="140" spans="1:8" ht="14.1" customHeight="1" x14ac:dyDescent="0.25">
      <c r="A140" s="74">
        <v>132</v>
      </c>
      <c r="B140" s="75" t="s">
        <v>2507</v>
      </c>
      <c r="D140" s="74">
        <v>314</v>
      </c>
      <c r="E140" s="75" t="s">
        <v>2508</v>
      </c>
      <c r="G140" s="74">
        <v>487</v>
      </c>
      <c r="H140" s="75" t="s">
        <v>2509</v>
      </c>
    </row>
    <row r="141" spans="1:8" ht="14.1" customHeight="1" x14ac:dyDescent="0.25">
      <c r="A141" s="74">
        <v>134</v>
      </c>
      <c r="B141" s="75" t="s">
        <v>2510</v>
      </c>
      <c r="D141" s="74">
        <v>535</v>
      </c>
      <c r="E141" s="75" t="s">
        <v>2511</v>
      </c>
      <c r="G141" s="74">
        <v>488</v>
      </c>
      <c r="H141" s="75" t="s">
        <v>2512</v>
      </c>
    </row>
    <row r="142" spans="1:8" ht="14.1" customHeight="1" x14ac:dyDescent="0.25">
      <c r="A142" s="74">
        <v>135</v>
      </c>
      <c r="B142" s="75" t="s">
        <v>2513</v>
      </c>
      <c r="D142" s="74">
        <v>315</v>
      </c>
      <c r="E142" s="75" t="s">
        <v>2514</v>
      </c>
      <c r="G142" s="74">
        <v>489</v>
      </c>
      <c r="H142" s="75" t="s">
        <v>2515</v>
      </c>
    </row>
    <row r="143" spans="1:8" ht="14.1" customHeight="1" x14ac:dyDescent="0.25">
      <c r="A143" s="74">
        <v>136</v>
      </c>
      <c r="B143" s="75" t="s">
        <v>2516</v>
      </c>
      <c r="D143" s="74">
        <v>316</v>
      </c>
      <c r="E143" s="75" t="s">
        <v>2517</v>
      </c>
      <c r="G143" s="74">
        <v>490</v>
      </c>
      <c r="H143" s="75" t="s">
        <v>2518</v>
      </c>
    </row>
    <row r="144" spans="1:8" ht="14.1" customHeight="1" x14ac:dyDescent="0.25">
      <c r="A144" s="74">
        <v>137</v>
      </c>
      <c r="B144" s="75" t="s">
        <v>2519</v>
      </c>
      <c r="D144" s="74">
        <v>317</v>
      </c>
      <c r="E144" s="75" t="s">
        <v>2520</v>
      </c>
      <c r="G144" s="74">
        <v>491</v>
      </c>
      <c r="H144" s="75" t="s">
        <v>2521</v>
      </c>
    </row>
    <row r="145" spans="1:8" ht="14.1" customHeight="1" x14ac:dyDescent="0.25">
      <c r="A145" s="74">
        <v>138</v>
      </c>
      <c r="B145" s="75" t="s">
        <v>2522</v>
      </c>
      <c r="D145" s="74">
        <v>318</v>
      </c>
      <c r="E145" s="75" t="s">
        <v>2523</v>
      </c>
      <c r="G145" s="74">
        <v>492</v>
      </c>
      <c r="H145" s="75" t="s">
        <v>2524</v>
      </c>
    </row>
    <row r="146" spans="1:8" ht="14.1" customHeight="1" x14ac:dyDescent="0.25">
      <c r="A146" s="74">
        <v>139</v>
      </c>
      <c r="B146" s="75" t="s">
        <v>2525</v>
      </c>
      <c r="D146" s="74">
        <v>320</v>
      </c>
      <c r="E146" s="75" t="s">
        <v>2526</v>
      </c>
      <c r="G146" s="74">
        <v>493</v>
      </c>
      <c r="H146" s="75" t="s">
        <v>2527</v>
      </c>
    </row>
    <row r="147" spans="1:8" ht="14.1" customHeight="1" x14ac:dyDescent="0.25">
      <c r="A147" s="74">
        <v>140</v>
      </c>
      <c r="B147" s="75" t="s">
        <v>2528</v>
      </c>
      <c r="D147" s="74">
        <v>321</v>
      </c>
      <c r="E147" s="75" t="s">
        <v>2529</v>
      </c>
      <c r="G147" s="74">
        <v>494</v>
      </c>
      <c r="H147" s="75" t="s">
        <v>2530</v>
      </c>
    </row>
    <row r="148" spans="1:8" ht="14.1" customHeight="1" x14ac:dyDescent="0.25">
      <c r="A148" s="74">
        <v>141</v>
      </c>
      <c r="B148" s="75" t="s">
        <v>2531</v>
      </c>
      <c r="D148" s="74">
        <v>323</v>
      </c>
      <c r="E148" s="75" t="s">
        <v>2532</v>
      </c>
      <c r="G148" s="74">
        <v>495</v>
      </c>
      <c r="H148" s="75" t="s">
        <v>2533</v>
      </c>
    </row>
    <row r="149" spans="1:8" ht="14.1" customHeight="1" x14ac:dyDescent="0.25">
      <c r="A149" s="74">
        <v>510</v>
      </c>
      <c r="B149" s="75" t="s">
        <v>2534</v>
      </c>
      <c r="D149" s="74">
        <v>324</v>
      </c>
      <c r="E149" s="75" t="s">
        <v>2535</v>
      </c>
      <c r="G149" s="74">
        <v>497</v>
      </c>
      <c r="H149" s="75" t="s">
        <v>2536</v>
      </c>
    </row>
    <row r="150" spans="1:8" ht="14.1" customHeight="1" x14ac:dyDescent="0.25">
      <c r="A150" s="74">
        <v>144</v>
      </c>
      <c r="B150" s="75" t="s">
        <v>2537</v>
      </c>
      <c r="D150" s="74">
        <v>325</v>
      </c>
      <c r="E150" s="75" t="s">
        <v>2538</v>
      </c>
      <c r="G150" s="74">
        <v>498</v>
      </c>
      <c r="H150" s="75" t="s">
        <v>3701</v>
      </c>
    </row>
    <row r="151" spans="1:8" ht="14.1" customHeight="1" x14ac:dyDescent="0.25">
      <c r="A151" s="74">
        <v>145</v>
      </c>
      <c r="B151" s="75" t="s">
        <v>3702</v>
      </c>
      <c r="D151" s="74">
        <v>326</v>
      </c>
      <c r="E151" s="75" t="s">
        <v>3703</v>
      </c>
      <c r="G151" s="74">
        <v>579</v>
      </c>
      <c r="H151" s="75" t="s">
        <v>1582</v>
      </c>
    </row>
    <row r="152" spans="1:8" ht="14.1" customHeight="1" x14ac:dyDescent="0.25">
      <c r="A152" s="74">
        <v>146</v>
      </c>
      <c r="B152" s="75" t="s">
        <v>1583</v>
      </c>
      <c r="D152" s="74">
        <v>327</v>
      </c>
      <c r="E152" s="75" t="s">
        <v>1584</v>
      </c>
      <c r="G152" s="74">
        <v>499</v>
      </c>
      <c r="H152" s="75" t="s">
        <v>1585</v>
      </c>
    </row>
    <row r="153" spans="1:8" ht="14.1" customHeight="1" x14ac:dyDescent="0.25">
      <c r="A153" s="74">
        <v>148</v>
      </c>
      <c r="B153" s="75" t="s">
        <v>1586</v>
      </c>
      <c r="D153" s="74">
        <v>328</v>
      </c>
      <c r="E153" s="75" t="s">
        <v>1587</v>
      </c>
      <c r="G153" s="74">
        <v>500</v>
      </c>
      <c r="H153" s="75" t="s">
        <v>1588</v>
      </c>
    </row>
    <row r="154" spans="1:8" ht="14.1" customHeight="1" x14ac:dyDescent="0.25">
      <c r="A154" s="74">
        <v>149</v>
      </c>
      <c r="B154" s="75" t="s">
        <v>1589</v>
      </c>
      <c r="D154" s="74">
        <v>329</v>
      </c>
      <c r="E154" s="75" t="s">
        <v>1590</v>
      </c>
      <c r="G154" s="74">
        <v>502</v>
      </c>
      <c r="H154" s="75" t="s">
        <v>1591</v>
      </c>
    </row>
    <row r="155" spans="1:8" ht="14.1" customHeight="1" x14ac:dyDescent="0.25">
      <c r="A155" s="74">
        <v>150</v>
      </c>
      <c r="B155" s="75" t="s">
        <v>1592</v>
      </c>
      <c r="D155" s="74">
        <v>330</v>
      </c>
      <c r="E155" s="75" t="s">
        <v>1593</v>
      </c>
      <c r="G155" s="74">
        <v>584</v>
      </c>
      <c r="H155" s="75" t="s">
        <v>1594</v>
      </c>
    </row>
    <row r="156" spans="1:8" ht="14.1" customHeight="1" x14ac:dyDescent="0.25">
      <c r="A156" s="74">
        <v>152</v>
      </c>
      <c r="B156" s="75" t="s">
        <v>1595</v>
      </c>
      <c r="D156" s="74">
        <v>581</v>
      </c>
      <c r="E156" s="75" t="s">
        <v>1596</v>
      </c>
      <c r="G156" s="74">
        <v>503</v>
      </c>
      <c r="H156" s="75" t="s">
        <v>1597</v>
      </c>
    </row>
    <row r="157" spans="1:8" ht="14.1" customHeight="1" x14ac:dyDescent="0.25">
      <c r="A157" s="74">
        <v>153</v>
      </c>
      <c r="B157" s="75" t="s">
        <v>1598</v>
      </c>
      <c r="D157" s="74">
        <v>331</v>
      </c>
      <c r="E157" s="75" t="s">
        <v>1599</v>
      </c>
      <c r="G157" s="74">
        <v>504</v>
      </c>
      <c r="H157" s="75" t="s">
        <v>1600</v>
      </c>
    </row>
    <row r="158" spans="1:8" ht="14.1" customHeight="1" x14ac:dyDescent="0.25">
      <c r="A158" s="74">
        <v>154</v>
      </c>
      <c r="B158" s="75" t="s">
        <v>1601</v>
      </c>
      <c r="D158" s="74">
        <v>332</v>
      </c>
      <c r="E158" s="75" t="s">
        <v>1602</v>
      </c>
      <c r="G158" s="74">
        <v>505</v>
      </c>
      <c r="H158" s="75" t="s">
        <v>1603</v>
      </c>
    </row>
    <row r="159" spans="1:8" ht="14.1" customHeight="1" x14ac:dyDescent="0.25">
      <c r="A159" s="74">
        <v>155</v>
      </c>
      <c r="B159" s="75" t="s">
        <v>1604</v>
      </c>
      <c r="D159" s="74">
        <v>333</v>
      </c>
      <c r="E159" s="75" t="s">
        <v>1605</v>
      </c>
      <c r="G159" s="74">
        <v>506</v>
      </c>
      <c r="H159" s="75" t="s">
        <v>1606</v>
      </c>
    </row>
    <row r="160" spans="1:8" ht="14.1" customHeight="1" x14ac:dyDescent="0.25">
      <c r="A160" s="74">
        <v>156</v>
      </c>
      <c r="B160" s="75" t="s">
        <v>1607</v>
      </c>
      <c r="D160" s="74">
        <v>334</v>
      </c>
      <c r="E160" s="75" t="s">
        <v>1608</v>
      </c>
      <c r="G160" s="74">
        <v>507</v>
      </c>
      <c r="H160" s="75" t="s">
        <v>1609</v>
      </c>
    </row>
    <row r="161" spans="1:8" ht="14.1" customHeight="1" x14ac:dyDescent="0.25">
      <c r="A161" s="74">
        <v>158</v>
      </c>
      <c r="B161" s="75" t="s">
        <v>1610</v>
      </c>
      <c r="D161" s="74">
        <v>455</v>
      </c>
      <c r="E161" s="75" t="s">
        <v>1611</v>
      </c>
      <c r="G161" s="74">
        <v>508</v>
      </c>
      <c r="H161" s="75" t="s">
        <v>1612</v>
      </c>
    </row>
    <row r="162" spans="1:8" ht="14.1" customHeight="1" x14ac:dyDescent="0.25">
      <c r="A162" s="74">
        <v>159</v>
      </c>
      <c r="B162" s="75" t="s">
        <v>1613</v>
      </c>
      <c r="D162" s="74">
        <v>335</v>
      </c>
      <c r="E162" s="75" t="s">
        <v>1614</v>
      </c>
      <c r="G162" s="74">
        <v>509</v>
      </c>
      <c r="H162" s="75" t="s">
        <v>1615</v>
      </c>
    </row>
    <row r="163" spans="1:8" ht="14.1" customHeight="1" x14ac:dyDescent="0.25">
      <c r="A163" s="74">
        <v>161</v>
      </c>
      <c r="B163" s="75" t="s">
        <v>1616</v>
      </c>
      <c r="D163" s="74">
        <v>337</v>
      </c>
      <c r="E163" s="75" t="s">
        <v>1617</v>
      </c>
      <c r="G163" s="74">
        <v>511</v>
      </c>
      <c r="H163" s="75" t="s">
        <v>1618</v>
      </c>
    </row>
    <row r="164" spans="1:8" ht="14.1" customHeight="1" x14ac:dyDescent="0.25">
      <c r="A164" s="74">
        <v>609</v>
      </c>
      <c r="B164" s="75" t="s">
        <v>1619</v>
      </c>
      <c r="D164" s="74">
        <v>338</v>
      </c>
      <c r="E164" s="75" t="s">
        <v>1620</v>
      </c>
      <c r="G164" s="74">
        <v>512</v>
      </c>
      <c r="H164" s="75" t="s">
        <v>1621</v>
      </c>
    </row>
    <row r="165" spans="1:8" ht="14.1" customHeight="1" x14ac:dyDescent="0.25">
      <c r="A165" s="74">
        <v>163</v>
      </c>
      <c r="B165" s="75" t="s">
        <v>1622</v>
      </c>
      <c r="D165" s="74">
        <v>339</v>
      </c>
      <c r="E165" s="75" t="s">
        <v>1623</v>
      </c>
      <c r="G165" s="74">
        <v>513</v>
      </c>
      <c r="H165" s="75" t="s">
        <v>1624</v>
      </c>
    </row>
    <row r="166" spans="1:8" ht="14.1" customHeight="1" x14ac:dyDescent="0.25">
      <c r="A166" s="74">
        <v>164</v>
      </c>
      <c r="B166" s="75" t="s">
        <v>1625</v>
      </c>
      <c r="D166" s="74">
        <v>340</v>
      </c>
      <c r="E166" s="75" t="s">
        <v>1626</v>
      </c>
      <c r="G166" s="74">
        <v>514</v>
      </c>
      <c r="H166" s="75" t="s">
        <v>1627</v>
      </c>
    </row>
    <row r="167" spans="1:8" ht="14.1" customHeight="1" x14ac:dyDescent="0.25">
      <c r="A167" s="74">
        <v>165</v>
      </c>
      <c r="B167" s="75" t="s">
        <v>1628</v>
      </c>
      <c r="D167" s="74">
        <v>271</v>
      </c>
      <c r="E167" s="75" t="s">
        <v>1629</v>
      </c>
      <c r="G167" s="74">
        <v>516</v>
      </c>
      <c r="H167" s="75" t="s">
        <v>1630</v>
      </c>
    </row>
    <row r="168" spans="1:8" ht="14.1" customHeight="1" x14ac:dyDescent="0.25">
      <c r="A168" s="74">
        <v>599</v>
      </c>
      <c r="B168" s="75" t="s">
        <v>1631</v>
      </c>
      <c r="D168" s="74">
        <v>616</v>
      </c>
      <c r="E168" s="75" t="s">
        <v>1632</v>
      </c>
      <c r="G168" s="74">
        <v>625</v>
      </c>
      <c r="H168" s="75" t="s">
        <v>1633</v>
      </c>
    </row>
    <row r="169" spans="1:8" ht="14.1" customHeight="1" x14ac:dyDescent="0.25">
      <c r="A169" s="74">
        <v>166</v>
      </c>
      <c r="B169" s="75" t="s">
        <v>1634</v>
      </c>
      <c r="D169" s="74">
        <v>341</v>
      </c>
      <c r="E169" s="75" t="s">
        <v>1635</v>
      </c>
      <c r="G169" s="74">
        <v>517</v>
      </c>
      <c r="H169" s="75" t="s">
        <v>1636</v>
      </c>
    </row>
    <row r="170" spans="1:8" ht="14.1" customHeight="1" x14ac:dyDescent="0.25">
      <c r="A170" s="74">
        <v>167</v>
      </c>
      <c r="B170" s="75" t="s">
        <v>1637</v>
      </c>
      <c r="D170" s="74">
        <v>342</v>
      </c>
      <c r="E170" s="75" t="s">
        <v>1638</v>
      </c>
      <c r="G170" s="74">
        <v>518</v>
      </c>
      <c r="H170" s="75" t="s">
        <v>1639</v>
      </c>
    </row>
    <row r="171" spans="1:8" ht="14.1" customHeight="1" x14ac:dyDescent="0.25">
      <c r="A171" s="74">
        <v>168</v>
      </c>
      <c r="B171" s="75" t="s">
        <v>1640</v>
      </c>
      <c r="D171" s="74">
        <v>343</v>
      </c>
      <c r="E171" s="75" t="s">
        <v>1641</v>
      </c>
      <c r="G171" s="74">
        <v>519</v>
      </c>
      <c r="H171" s="75" t="s">
        <v>1642</v>
      </c>
    </row>
    <row r="172" spans="1:8" ht="14.1" customHeight="1" x14ac:dyDescent="0.25">
      <c r="A172" s="74">
        <v>169</v>
      </c>
      <c r="B172" s="75" t="s">
        <v>1643</v>
      </c>
      <c r="D172" s="74">
        <v>544</v>
      </c>
      <c r="E172" s="75" t="s">
        <v>1644</v>
      </c>
      <c r="G172" s="74">
        <v>520</v>
      </c>
      <c r="H172" s="75" t="s">
        <v>1645</v>
      </c>
    </row>
    <row r="173" spans="1:8" ht="14.1" customHeight="1" x14ac:dyDescent="0.25">
      <c r="A173" s="74">
        <v>170</v>
      </c>
      <c r="B173" s="75" t="s">
        <v>1646</v>
      </c>
      <c r="D173" s="74">
        <v>344</v>
      </c>
      <c r="E173" s="75" t="s">
        <v>1647</v>
      </c>
      <c r="G173" s="74">
        <v>595</v>
      </c>
      <c r="H173" s="75" t="s">
        <v>1648</v>
      </c>
    </row>
    <row r="174" spans="1:8" ht="14.1" customHeight="1" x14ac:dyDescent="0.25">
      <c r="A174" s="74">
        <v>171</v>
      </c>
      <c r="B174" s="75" t="s">
        <v>1649</v>
      </c>
      <c r="D174" s="74">
        <v>345</v>
      </c>
      <c r="E174" s="75" t="s">
        <v>1650</v>
      </c>
      <c r="G174" s="74">
        <v>521</v>
      </c>
      <c r="H174" s="75" t="s">
        <v>1651</v>
      </c>
    </row>
    <row r="175" spans="1:8" ht="14.1" customHeight="1" x14ac:dyDescent="0.25">
      <c r="A175" s="74">
        <v>552</v>
      </c>
      <c r="B175" s="75" t="s">
        <v>1652</v>
      </c>
      <c r="D175" s="74">
        <v>346</v>
      </c>
      <c r="E175" s="75" t="s">
        <v>1653</v>
      </c>
      <c r="G175" s="74">
        <v>133</v>
      </c>
      <c r="H175" s="75" t="s">
        <v>1654</v>
      </c>
    </row>
    <row r="176" spans="1:8" ht="14.1" customHeight="1" x14ac:dyDescent="0.25">
      <c r="A176" s="74">
        <v>172</v>
      </c>
      <c r="B176" s="75" t="s">
        <v>1655</v>
      </c>
      <c r="D176" s="74">
        <v>347</v>
      </c>
      <c r="E176" s="75" t="s">
        <v>1656</v>
      </c>
      <c r="G176" s="74">
        <v>522</v>
      </c>
      <c r="H176" s="75" t="s">
        <v>1657</v>
      </c>
    </row>
    <row r="177" spans="1:8" ht="14.1" customHeight="1" x14ac:dyDescent="0.25">
      <c r="A177" s="74">
        <v>173</v>
      </c>
      <c r="B177" s="75" t="s">
        <v>1658</v>
      </c>
      <c r="D177" s="74">
        <v>348</v>
      </c>
      <c r="E177" s="75" t="s">
        <v>1659</v>
      </c>
      <c r="G177" s="74">
        <v>543</v>
      </c>
      <c r="H177" s="75" t="s">
        <v>1660</v>
      </c>
    </row>
    <row r="178" spans="1:8" ht="14.1" customHeight="1" x14ac:dyDescent="0.25">
      <c r="A178" s="74">
        <v>559</v>
      </c>
      <c r="B178" s="75" t="s">
        <v>1661</v>
      </c>
      <c r="D178" s="74">
        <v>349</v>
      </c>
      <c r="E178" s="75" t="s">
        <v>1662</v>
      </c>
      <c r="G178" s="74">
        <v>523</v>
      </c>
      <c r="H178" s="75" t="s">
        <v>1663</v>
      </c>
    </row>
    <row r="179" spans="1:8" ht="14.1" customHeight="1" x14ac:dyDescent="0.25">
      <c r="A179" s="74">
        <v>560</v>
      </c>
      <c r="B179" s="75" t="s">
        <v>1664</v>
      </c>
      <c r="D179" s="74">
        <v>350</v>
      </c>
      <c r="E179" s="75" t="s">
        <v>1665</v>
      </c>
      <c r="G179" s="74">
        <v>524</v>
      </c>
      <c r="H179" s="75" t="s">
        <v>1666</v>
      </c>
    </row>
    <row r="180" spans="1:8" ht="14.1" customHeight="1" x14ac:dyDescent="0.25">
      <c r="A180" s="74">
        <v>623</v>
      </c>
      <c r="B180" s="75" t="s">
        <v>1667</v>
      </c>
      <c r="D180" s="74">
        <v>573</v>
      </c>
      <c r="E180" s="75" t="s">
        <v>1668</v>
      </c>
      <c r="G180" s="74">
        <v>525</v>
      </c>
      <c r="H180" s="75" t="s">
        <v>1669</v>
      </c>
    </row>
    <row r="181" spans="1:8" ht="14.1" customHeight="1" x14ac:dyDescent="0.25">
      <c r="A181" s="74">
        <v>175</v>
      </c>
      <c r="B181" s="75" t="s">
        <v>1670</v>
      </c>
      <c r="D181" s="74">
        <v>351</v>
      </c>
      <c r="E181" s="75" t="s">
        <v>1671</v>
      </c>
      <c r="G181" s="74">
        <v>526</v>
      </c>
      <c r="H181" s="75" t="s">
        <v>1672</v>
      </c>
    </row>
    <row r="182" spans="1:8" ht="14.1" customHeight="1" x14ac:dyDescent="0.25">
      <c r="A182" s="74">
        <v>176</v>
      </c>
      <c r="B182" s="75" t="s">
        <v>1673</v>
      </c>
      <c r="D182" s="74">
        <v>352</v>
      </c>
      <c r="E182" s="75" t="s">
        <v>1674</v>
      </c>
      <c r="G182" s="74">
        <v>527</v>
      </c>
      <c r="H182" s="75" t="s">
        <v>1675</v>
      </c>
    </row>
    <row r="183" spans="1:8" ht="14.1" customHeight="1" x14ac:dyDescent="0.25">
      <c r="A183" s="74">
        <v>177</v>
      </c>
      <c r="B183" s="75" t="s">
        <v>1676</v>
      </c>
      <c r="D183" s="74">
        <v>354</v>
      </c>
      <c r="E183" s="75" t="s">
        <v>1677</v>
      </c>
      <c r="G183" s="74">
        <v>528</v>
      </c>
      <c r="H183" s="75" t="s">
        <v>1678</v>
      </c>
    </row>
    <row r="184" spans="1:8" ht="14.1" customHeight="1" x14ac:dyDescent="0.25">
      <c r="A184" s="74">
        <v>178</v>
      </c>
      <c r="B184" s="75" t="s">
        <v>1679</v>
      </c>
      <c r="D184" s="74">
        <v>355</v>
      </c>
      <c r="E184" s="75" t="s">
        <v>1680</v>
      </c>
      <c r="G184" s="74">
        <v>566</v>
      </c>
      <c r="H184" s="75" t="s">
        <v>1681</v>
      </c>
    </row>
    <row r="185" spans="1:8" ht="14.1" customHeight="1" x14ac:dyDescent="0.25">
      <c r="A185" s="74">
        <v>179</v>
      </c>
      <c r="B185" s="75" t="s">
        <v>1682</v>
      </c>
      <c r="D185" s="74">
        <v>356</v>
      </c>
      <c r="E185" s="75" t="s">
        <v>1683</v>
      </c>
      <c r="G185" s="74">
        <v>530</v>
      </c>
      <c r="H185" s="75" t="s">
        <v>1684</v>
      </c>
    </row>
    <row r="186" spans="1:8" ht="14.1" customHeight="1" x14ac:dyDescent="0.25">
      <c r="A186" s="74">
        <v>596</v>
      </c>
      <c r="B186" s="75" t="s">
        <v>1685</v>
      </c>
      <c r="D186" s="74">
        <v>589</v>
      </c>
      <c r="E186" s="75" t="s">
        <v>1686</v>
      </c>
      <c r="G186" s="74">
        <v>531</v>
      </c>
      <c r="H186" s="75" t="s">
        <v>1687</v>
      </c>
    </row>
    <row r="187" spans="1:8" ht="14.1" customHeight="1" x14ac:dyDescent="0.25">
      <c r="A187" s="74">
        <v>180</v>
      </c>
      <c r="B187" s="75" t="s">
        <v>1688</v>
      </c>
      <c r="D187" s="74">
        <v>620</v>
      </c>
      <c r="E187" s="75" t="s">
        <v>1689</v>
      </c>
      <c r="G187" s="74">
        <v>540</v>
      </c>
      <c r="H187" s="75" t="s">
        <v>1690</v>
      </c>
    </row>
    <row r="188" spans="1:8" ht="14.1" customHeight="1" x14ac:dyDescent="0.25">
      <c r="A188" s="74">
        <v>181</v>
      </c>
      <c r="B188" s="75" t="s">
        <v>1691</v>
      </c>
      <c r="D188" s="74">
        <v>590</v>
      </c>
      <c r="E188" s="75" t="s">
        <v>84</v>
      </c>
      <c r="G188" s="74">
        <v>602</v>
      </c>
      <c r="H188" s="75" t="s">
        <v>85</v>
      </c>
    </row>
    <row r="189" spans="1:8" ht="14.1" customHeight="1" x14ac:dyDescent="0.25">
      <c r="A189" s="74">
        <v>597</v>
      </c>
      <c r="B189" s="75" t="s">
        <v>1135</v>
      </c>
      <c r="D189" s="74">
        <v>357</v>
      </c>
      <c r="E189" s="75" t="s">
        <v>1136</v>
      </c>
      <c r="G189" s="74">
        <v>534</v>
      </c>
      <c r="H189" s="75" t="s">
        <v>1137</v>
      </c>
    </row>
    <row r="190" spans="1:8" ht="14.1" customHeight="1" x14ac:dyDescent="0.25">
      <c r="A190" s="74">
        <v>183</v>
      </c>
      <c r="B190" s="75" t="s">
        <v>1138</v>
      </c>
      <c r="D190" s="74">
        <v>583</v>
      </c>
      <c r="E190" s="75" t="s">
        <v>1139</v>
      </c>
      <c r="G190" s="76"/>
      <c r="H190" s="77"/>
    </row>
    <row r="191" spans="1:8" ht="14.1" customHeight="1" x14ac:dyDescent="0.25">
      <c r="A191" s="78">
        <v>184</v>
      </c>
      <c r="B191" s="81" t="s">
        <v>1140</v>
      </c>
      <c r="D191" s="78">
        <v>574</v>
      </c>
      <c r="E191" s="81" t="s">
        <v>1139</v>
      </c>
      <c r="G191" s="79"/>
      <c r="H191" s="80"/>
    </row>
    <row r="192" spans="1:8" ht="5.0999999999999996" customHeight="1" x14ac:dyDescent="0.25"/>
    <row r="193" spans="1:8" ht="30" customHeight="1" x14ac:dyDescent="0.25">
      <c r="A193" s="629" t="s">
        <v>3614</v>
      </c>
      <c r="B193" s="630"/>
      <c r="C193" s="631" t="s">
        <v>3618</v>
      </c>
      <c r="D193" s="632"/>
      <c r="E193" s="633"/>
      <c r="F193" s="631" t="s">
        <v>3615</v>
      </c>
      <c r="G193" s="632"/>
      <c r="H193" s="633"/>
    </row>
    <row r="194" spans="1:8" ht="15" customHeight="1" x14ac:dyDescent="0.25">
      <c r="A194" s="117" t="s">
        <v>2136</v>
      </c>
      <c r="B194" s="611" t="s">
        <v>3364</v>
      </c>
      <c r="C194" s="612"/>
      <c r="D194" s="612"/>
      <c r="E194" s="612"/>
      <c r="F194" s="612"/>
      <c r="G194" s="612"/>
      <c r="H194" s="612"/>
    </row>
    <row r="195" spans="1:8" ht="15" customHeight="1" x14ac:dyDescent="0.25">
      <c r="A195" s="411" t="s">
        <v>451</v>
      </c>
      <c r="B195" s="414" t="s">
        <v>4021</v>
      </c>
      <c r="C195" s="436"/>
      <c r="D195" s="436"/>
      <c r="E195" s="436"/>
      <c r="F195" s="436"/>
      <c r="G195" s="436"/>
      <c r="H195" s="437"/>
    </row>
    <row r="196" spans="1:8" ht="15" customHeight="1" x14ac:dyDescent="0.25">
      <c r="A196" s="412" t="s">
        <v>4110</v>
      </c>
      <c r="B196" s="415" t="s">
        <v>452</v>
      </c>
      <c r="C196" s="438"/>
      <c r="D196" s="438"/>
      <c r="E196" s="438"/>
      <c r="F196" s="438"/>
      <c r="G196" s="438"/>
      <c r="H196" s="439"/>
    </row>
    <row r="197" spans="1:8" ht="15" customHeight="1" x14ac:dyDescent="0.25">
      <c r="A197" s="412" t="s">
        <v>2866</v>
      </c>
      <c r="B197" s="415" t="s">
        <v>453</v>
      </c>
      <c r="C197" s="438"/>
      <c r="D197" s="438"/>
      <c r="E197" s="438"/>
      <c r="F197" s="438"/>
      <c r="G197" s="438"/>
      <c r="H197" s="439"/>
    </row>
    <row r="198" spans="1:8" ht="15" customHeight="1" x14ac:dyDescent="0.25">
      <c r="A198" s="412" t="s">
        <v>2870</v>
      </c>
      <c r="B198" s="415" t="s">
        <v>1812</v>
      </c>
      <c r="C198" s="438"/>
      <c r="D198" s="438"/>
      <c r="E198" s="438"/>
      <c r="F198" s="438"/>
      <c r="G198" s="438"/>
      <c r="H198" s="439"/>
    </row>
    <row r="199" spans="1:8" ht="15" customHeight="1" x14ac:dyDescent="0.25">
      <c r="A199" s="412" t="s">
        <v>2872</v>
      </c>
      <c r="B199" s="415" t="s">
        <v>1505</v>
      </c>
      <c r="C199" s="438"/>
      <c r="D199" s="438"/>
      <c r="E199" s="438"/>
      <c r="F199" s="438"/>
      <c r="G199" s="438"/>
      <c r="H199" s="439"/>
    </row>
    <row r="200" spans="1:8" ht="15" customHeight="1" x14ac:dyDescent="0.25">
      <c r="A200" s="412" t="s">
        <v>454</v>
      </c>
      <c r="B200" s="415" t="s">
        <v>1813</v>
      </c>
      <c r="C200" s="438"/>
      <c r="D200" s="438"/>
      <c r="E200" s="438"/>
      <c r="F200" s="438"/>
      <c r="G200" s="438"/>
      <c r="H200" s="439"/>
    </row>
    <row r="201" spans="1:8" ht="15" customHeight="1" x14ac:dyDescent="0.25">
      <c r="A201" s="412" t="s">
        <v>2987</v>
      </c>
      <c r="B201" s="415" t="s">
        <v>1814</v>
      </c>
      <c r="C201" s="438"/>
      <c r="D201" s="438"/>
      <c r="E201" s="438"/>
      <c r="F201" s="438"/>
      <c r="G201" s="438"/>
      <c r="H201" s="439"/>
    </row>
    <row r="202" spans="1:8" ht="15" customHeight="1" x14ac:dyDescent="0.25">
      <c r="A202" s="413" t="s">
        <v>455</v>
      </c>
      <c r="B202" s="416" t="s">
        <v>3527</v>
      </c>
      <c r="C202" s="440"/>
      <c r="D202" s="440"/>
      <c r="E202" s="440"/>
      <c r="F202" s="440"/>
      <c r="G202" s="440"/>
      <c r="H202" s="441"/>
    </row>
    <row r="203" spans="1:8" ht="15" customHeight="1" x14ac:dyDescent="0.25">
      <c r="A203" s="412" t="s">
        <v>456</v>
      </c>
      <c r="B203" s="415" t="s">
        <v>4009</v>
      </c>
      <c r="C203" s="438"/>
      <c r="D203" s="438"/>
      <c r="E203" s="438"/>
      <c r="F203" s="438"/>
      <c r="G203" s="438"/>
      <c r="H203" s="439"/>
    </row>
    <row r="204" spans="1:8" ht="15" customHeight="1" x14ac:dyDescent="0.25">
      <c r="A204" s="412" t="s">
        <v>457</v>
      </c>
      <c r="B204" s="415" t="s">
        <v>1815</v>
      </c>
      <c r="C204" s="438"/>
      <c r="D204" s="438"/>
      <c r="E204" s="438"/>
      <c r="F204" s="438"/>
      <c r="G204" s="438"/>
      <c r="H204" s="439"/>
    </row>
    <row r="205" spans="1:8" ht="15" customHeight="1" x14ac:dyDescent="0.25">
      <c r="A205" s="412" t="s">
        <v>458</v>
      </c>
      <c r="B205" s="415" t="s">
        <v>2084</v>
      </c>
      <c r="C205" s="440"/>
      <c r="D205" s="440"/>
      <c r="E205" s="440"/>
      <c r="F205" s="440"/>
      <c r="G205" s="440"/>
      <c r="H205" s="441"/>
    </row>
    <row r="206" spans="1:8" ht="15" customHeight="1" x14ac:dyDescent="0.25">
      <c r="A206" s="412" t="s">
        <v>459</v>
      </c>
      <c r="B206" s="415" t="s">
        <v>1506</v>
      </c>
      <c r="C206" s="438"/>
      <c r="D206" s="438"/>
      <c r="E206" s="438"/>
      <c r="F206" s="438"/>
      <c r="G206" s="438"/>
      <c r="H206" s="439"/>
    </row>
    <row r="207" spans="1:8" ht="15" customHeight="1" x14ac:dyDescent="0.25">
      <c r="A207" s="412" t="s">
        <v>2991</v>
      </c>
      <c r="B207" s="415" t="s">
        <v>791</v>
      </c>
      <c r="C207" s="440"/>
      <c r="D207" s="440"/>
      <c r="E207" s="440"/>
      <c r="F207" s="440"/>
      <c r="G207" s="440"/>
      <c r="H207" s="441"/>
    </row>
    <row r="208" spans="1:8" ht="15" customHeight="1" x14ac:dyDescent="0.25">
      <c r="A208" s="412" t="s">
        <v>2993</v>
      </c>
      <c r="B208" s="415" t="s">
        <v>3387</v>
      </c>
      <c r="C208" s="440"/>
      <c r="D208" s="440"/>
      <c r="E208" s="440"/>
      <c r="F208" s="440"/>
      <c r="G208" s="440"/>
      <c r="H208" s="441"/>
    </row>
    <row r="209" spans="1:8" ht="15" customHeight="1" x14ac:dyDescent="0.25">
      <c r="A209" s="412" t="s">
        <v>460</v>
      </c>
      <c r="B209" s="415" t="s">
        <v>3743</v>
      </c>
      <c r="C209" s="440"/>
      <c r="D209" s="440"/>
      <c r="E209" s="440"/>
      <c r="F209" s="440"/>
      <c r="G209" s="440"/>
      <c r="H209" s="441"/>
    </row>
    <row r="210" spans="1:8" ht="15" customHeight="1" x14ac:dyDescent="0.25">
      <c r="A210" s="412" t="s">
        <v>4334</v>
      </c>
      <c r="B210" s="415" t="s">
        <v>3528</v>
      </c>
      <c r="C210" s="442"/>
      <c r="D210" s="442"/>
      <c r="E210" s="442"/>
      <c r="F210" s="442"/>
      <c r="G210" s="442"/>
      <c r="H210" s="443"/>
    </row>
    <row r="211" spans="1:8" ht="15" customHeight="1" x14ac:dyDescent="0.25">
      <c r="A211" s="412" t="s">
        <v>835</v>
      </c>
      <c r="B211" s="415" t="s">
        <v>1816</v>
      </c>
      <c r="C211" s="438"/>
      <c r="D211" s="438"/>
      <c r="E211" s="438"/>
      <c r="F211" s="438"/>
      <c r="G211" s="438"/>
      <c r="H211" s="439"/>
    </row>
    <row r="212" spans="1:8" ht="15" customHeight="1" x14ac:dyDescent="0.25">
      <c r="A212" s="412" t="s">
        <v>4337</v>
      </c>
      <c r="B212" s="415" t="s">
        <v>3529</v>
      </c>
      <c r="C212" s="440"/>
      <c r="D212" s="440"/>
      <c r="E212" s="440"/>
      <c r="F212" s="440"/>
      <c r="G212" s="440"/>
      <c r="H212" s="441"/>
    </row>
    <row r="213" spans="1:8" ht="15" customHeight="1" x14ac:dyDescent="0.25">
      <c r="A213" s="412" t="s">
        <v>1288</v>
      </c>
      <c r="B213" s="415" t="s">
        <v>3530</v>
      </c>
      <c r="C213" s="442"/>
      <c r="D213" s="442"/>
      <c r="E213" s="442"/>
      <c r="F213" s="442"/>
      <c r="G213" s="442"/>
      <c r="H213" s="443"/>
    </row>
    <row r="214" spans="1:8" ht="15" customHeight="1" x14ac:dyDescent="0.25">
      <c r="A214" s="412" t="s">
        <v>1296</v>
      </c>
      <c r="B214" s="415" t="s">
        <v>3744</v>
      </c>
      <c r="C214" s="440"/>
      <c r="D214" s="440"/>
      <c r="E214" s="440"/>
      <c r="F214" s="440"/>
      <c r="G214" s="440"/>
      <c r="H214" s="441"/>
    </row>
    <row r="215" spans="1:8" ht="15" customHeight="1" x14ac:dyDescent="0.25">
      <c r="A215" s="412" t="s">
        <v>461</v>
      </c>
      <c r="B215" s="415" t="s">
        <v>3531</v>
      </c>
      <c r="C215" s="438"/>
      <c r="D215" s="438"/>
      <c r="E215" s="438"/>
      <c r="F215" s="438"/>
      <c r="G215" s="438"/>
      <c r="H215" s="439"/>
    </row>
    <row r="216" spans="1:8" ht="15" customHeight="1" x14ac:dyDescent="0.25">
      <c r="A216" s="412" t="s">
        <v>1300</v>
      </c>
      <c r="B216" s="415" t="s">
        <v>3532</v>
      </c>
      <c r="C216" s="440"/>
      <c r="D216" s="440"/>
      <c r="E216" s="440"/>
      <c r="F216" s="440"/>
      <c r="G216" s="440"/>
      <c r="H216" s="441"/>
    </row>
    <row r="217" spans="1:8" ht="15" customHeight="1" x14ac:dyDescent="0.25">
      <c r="A217" s="412" t="s">
        <v>1514</v>
      </c>
      <c r="B217" s="415" t="s">
        <v>1817</v>
      </c>
      <c r="C217" s="440"/>
      <c r="D217" s="440"/>
      <c r="E217" s="440"/>
      <c r="F217" s="440"/>
      <c r="G217" s="440"/>
      <c r="H217" s="441"/>
    </row>
    <row r="218" spans="1:8" ht="15" customHeight="1" x14ac:dyDescent="0.25">
      <c r="A218" s="412" t="s">
        <v>1328</v>
      </c>
      <c r="B218" s="415" t="s">
        <v>462</v>
      </c>
      <c r="C218" s="442"/>
      <c r="D218" s="442"/>
      <c r="E218" s="442"/>
      <c r="F218" s="442"/>
      <c r="G218" s="442"/>
      <c r="H218" s="443"/>
    </row>
    <row r="219" spans="1:8" ht="15" customHeight="1" x14ac:dyDescent="0.25">
      <c r="A219" s="412" t="s">
        <v>463</v>
      </c>
      <c r="B219" s="415" t="s">
        <v>3533</v>
      </c>
      <c r="C219" s="438"/>
      <c r="D219" s="438"/>
      <c r="E219" s="438"/>
      <c r="F219" s="438"/>
      <c r="G219" s="438"/>
      <c r="H219" s="439"/>
    </row>
    <row r="220" spans="1:8" ht="15" customHeight="1" x14ac:dyDescent="0.25">
      <c r="A220" s="412" t="s">
        <v>464</v>
      </c>
      <c r="B220" s="415" t="s">
        <v>1818</v>
      </c>
      <c r="C220" s="442"/>
      <c r="D220" s="442"/>
      <c r="E220" s="442"/>
      <c r="F220" s="442"/>
      <c r="G220" s="442"/>
      <c r="H220" s="443"/>
    </row>
    <row r="221" spans="1:8" ht="15" customHeight="1" x14ac:dyDescent="0.25">
      <c r="A221" s="412" t="s">
        <v>2439</v>
      </c>
      <c r="B221" s="415" t="s">
        <v>465</v>
      </c>
      <c r="C221" s="440"/>
      <c r="D221" s="440"/>
      <c r="E221" s="440"/>
      <c r="F221" s="440"/>
      <c r="G221" s="440"/>
      <c r="H221" s="441"/>
    </row>
    <row r="222" spans="1:8" ht="15" customHeight="1" x14ac:dyDescent="0.25">
      <c r="A222" s="412" t="s">
        <v>466</v>
      </c>
      <c r="B222" s="415" t="s">
        <v>4071</v>
      </c>
      <c r="C222" s="440"/>
      <c r="D222" s="440"/>
      <c r="E222" s="440"/>
      <c r="F222" s="440"/>
      <c r="G222" s="440"/>
      <c r="H222" s="441"/>
    </row>
    <row r="223" spans="1:8" ht="15" customHeight="1" x14ac:dyDescent="0.25">
      <c r="A223" s="412" t="s">
        <v>2789</v>
      </c>
      <c r="B223" s="415" t="s">
        <v>3303</v>
      </c>
      <c r="C223" s="440"/>
      <c r="D223" s="440"/>
      <c r="E223" s="440"/>
      <c r="F223" s="440"/>
      <c r="G223" s="440"/>
      <c r="H223" s="441"/>
    </row>
    <row r="224" spans="1:8" ht="15" customHeight="1" x14ac:dyDescent="0.25">
      <c r="A224" s="412" t="s">
        <v>2791</v>
      </c>
      <c r="B224" s="415" t="s">
        <v>3383</v>
      </c>
      <c r="C224" s="440"/>
      <c r="D224" s="440"/>
      <c r="E224" s="440"/>
      <c r="F224" s="440"/>
      <c r="G224" s="440"/>
      <c r="H224" s="441"/>
    </row>
    <row r="225" spans="1:8" ht="15" customHeight="1" x14ac:dyDescent="0.25">
      <c r="A225" s="412" t="s">
        <v>2805</v>
      </c>
      <c r="B225" s="415" t="s">
        <v>3384</v>
      </c>
      <c r="C225" s="440"/>
      <c r="D225" s="440"/>
      <c r="E225" s="440"/>
      <c r="F225" s="440"/>
      <c r="G225" s="440"/>
      <c r="H225" s="441"/>
    </row>
    <row r="226" spans="1:8" ht="15" customHeight="1" x14ac:dyDescent="0.25">
      <c r="A226" s="412" t="s">
        <v>2812</v>
      </c>
      <c r="B226" s="415" t="s">
        <v>2834</v>
      </c>
      <c r="C226" s="438"/>
      <c r="D226" s="438"/>
      <c r="E226" s="438"/>
      <c r="F226" s="438"/>
      <c r="G226" s="438"/>
      <c r="H226" s="439"/>
    </row>
    <row r="227" spans="1:8" ht="15" customHeight="1" x14ac:dyDescent="0.25">
      <c r="A227" s="412" t="s">
        <v>467</v>
      </c>
      <c r="B227" s="415" t="s">
        <v>4168</v>
      </c>
      <c r="C227" s="440"/>
      <c r="D227" s="440"/>
      <c r="E227" s="440"/>
      <c r="F227" s="440"/>
      <c r="G227" s="440"/>
      <c r="H227" s="441"/>
    </row>
    <row r="228" spans="1:8" ht="15" customHeight="1" x14ac:dyDescent="0.25">
      <c r="A228" s="412" t="s">
        <v>468</v>
      </c>
      <c r="B228" s="415" t="s">
        <v>2835</v>
      </c>
      <c r="C228" s="438"/>
      <c r="D228" s="438"/>
      <c r="E228" s="438"/>
      <c r="F228" s="438"/>
      <c r="G228" s="438"/>
      <c r="H228" s="439"/>
    </row>
    <row r="229" spans="1:8" ht="15" customHeight="1" x14ac:dyDescent="0.25">
      <c r="A229" s="412" t="s">
        <v>1386</v>
      </c>
      <c r="B229" s="415" t="s">
        <v>1819</v>
      </c>
      <c r="C229" s="438"/>
      <c r="D229" s="438"/>
      <c r="E229" s="438"/>
      <c r="F229" s="438"/>
      <c r="G229" s="438"/>
      <c r="H229" s="439"/>
    </row>
    <row r="230" spans="1:8" ht="15" customHeight="1" x14ac:dyDescent="0.25">
      <c r="A230" s="412" t="s">
        <v>1387</v>
      </c>
      <c r="B230" s="415" t="s">
        <v>3265</v>
      </c>
      <c r="C230" s="440"/>
      <c r="D230" s="440"/>
      <c r="E230" s="440"/>
      <c r="F230" s="440"/>
      <c r="G230" s="440"/>
      <c r="H230" s="441"/>
    </row>
    <row r="231" spans="1:8" ht="15" customHeight="1" x14ac:dyDescent="0.25">
      <c r="A231" s="412" t="s">
        <v>1389</v>
      </c>
      <c r="B231" s="415" t="s">
        <v>1820</v>
      </c>
      <c r="C231" s="442"/>
      <c r="D231" s="442"/>
      <c r="E231" s="442"/>
      <c r="F231" s="442"/>
      <c r="G231" s="442"/>
      <c r="H231" s="443"/>
    </row>
    <row r="232" spans="1:8" ht="15" customHeight="1" x14ac:dyDescent="0.25">
      <c r="A232" s="412" t="s">
        <v>469</v>
      </c>
      <c r="B232" s="415" t="s">
        <v>1370</v>
      </c>
      <c r="C232" s="440"/>
      <c r="D232" s="440"/>
      <c r="E232" s="440"/>
      <c r="F232" s="440"/>
      <c r="G232" s="440"/>
      <c r="H232" s="441"/>
    </row>
    <row r="233" spans="1:8" ht="15" customHeight="1" x14ac:dyDescent="0.25">
      <c r="A233" s="412" t="s">
        <v>470</v>
      </c>
      <c r="B233" s="415" t="s">
        <v>2133</v>
      </c>
      <c r="C233" s="438"/>
      <c r="D233" s="438"/>
      <c r="E233" s="438"/>
      <c r="F233" s="438"/>
      <c r="G233" s="438"/>
      <c r="H233" s="439"/>
    </row>
    <row r="234" spans="1:8" ht="15" customHeight="1" x14ac:dyDescent="0.25">
      <c r="A234" s="412" t="s">
        <v>471</v>
      </c>
      <c r="B234" s="415" t="s">
        <v>472</v>
      </c>
      <c r="C234" s="438"/>
      <c r="D234" s="438"/>
      <c r="E234" s="438"/>
      <c r="F234" s="438"/>
      <c r="G234" s="438"/>
      <c r="H234" s="439"/>
    </row>
    <row r="235" spans="1:8" ht="15" customHeight="1" x14ac:dyDescent="0.25">
      <c r="A235" s="413" t="s">
        <v>473</v>
      </c>
      <c r="B235" s="416" t="s">
        <v>2134</v>
      </c>
      <c r="C235" s="438"/>
      <c r="D235" s="438"/>
      <c r="E235" s="438"/>
      <c r="F235" s="438"/>
      <c r="G235" s="438"/>
      <c r="H235" s="439"/>
    </row>
    <row r="236" spans="1:8" ht="15" customHeight="1" x14ac:dyDescent="0.25">
      <c r="A236" s="413" t="s">
        <v>474</v>
      </c>
      <c r="B236" s="416" t="s">
        <v>2135</v>
      </c>
      <c r="C236" s="438"/>
      <c r="D236" s="438"/>
      <c r="E236" s="438"/>
      <c r="F236" s="438"/>
      <c r="G236" s="438"/>
      <c r="H236" s="439"/>
    </row>
    <row r="237" spans="1:8" ht="15" customHeight="1" x14ac:dyDescent="0.25">
      <c r="A237" s="413" t="s">
        <v>2902</v>
      </c>
      <c r="B237" s="416" t="s">
        <v>475</v>
      </c>
      <c r="C237" s="438"/>
      <c r="D237" s="438"/>
      <c r="E237" s="438"/>
      <c r="F237" s="438"/>
      <c r="G237" s="438"/>
      <c r="H237" s="439"/>
    </row>
    <row r="238" spans="1:8" ht="15" customHeight="1" x14ac:dyDescent="0.25">
      <c r="A238" s="412" t="s">
        <v>476</v>
      </c>
      <c r="B238" s="415" t="s">
        <v>2783</v>
      </c>
      <c r="C238" s="444"/>
      <c r="D238" s="444"/>
      <c r="E238" s="444"/>
      <c r="F238" s="444"/>
      <c r="G238" s="444"/>
      <c r="H238" s="445"/>
    </row>
    <row r="239" spans="1:8" ht="15" customHeight="1" x14ac:dyDescent="0.25">
      <c r="A239" s="412" t="s">
        <v>477</v>
      </c>
      <c r="B239" s="415" t="s">
        <v>1821</v>
      </c>
      <c r="C239" s="444"/>
      <c r="D239" s="444"/>
      <c r="E239" s="444"/>
      <c r="F239" s="444"/>
      <c r="G239" s="444"/>
      <c r="H239" s="445"/>
    </row>
    <row r="240" spans="1:8" ht="15" customHeight="1" x14ac:dyDescent="0.25">
      <c r="A240" s="412" t="s">
        <v>478</v>
      </c>
      <c r="B240" s="415" t="s">
        <v>4070</v>
      </c>
      <c r="C240" s="444"/>
      <c r="D240" s="444"/>
      <c r="E240" s="444"/>
      <c r="F240" s="444"/>
      <c r="G240" s="444"/>
      <c r="H240" s="445"/>
    </row>
    <row r="241" spans="1:8" ht="15" customHeight="1" x14ac:dyDescent="0.25">
      <c r="A241" s="412" t="s">
        <v>479</v>
      </c>
      <c r="B241" s="415" t="s">
        <v>4478</v>
      </c>
      <c r="C241" s="444"/>
      <c r="D241" s="444"/>
      <c r="E241" s="444"/>
      <c r="F241" s="444"/>
      <c r="G241" s="444"/>
      <c r="H241" s="445"/>
    </row>
    <row r="242" spans="1:8" ht="15" customHeight="1" x14ac:dyDescent="0.25">
      <c r="A242" s="412" t="s">
        <v>4298</v>
      </c>
      <c r="B242" s="415" t="s">
        <v>1822</v>
      </c>
      <c r="C242" s="444"/>
      <c r="D242" s="444"/>
      <c r="E242" s="444"/>
      <c r="F242" s="444"/>
      <c r="G242" s="444"/>
      <c r="H242" s="445"/>
    </row>
    <row r="243" spans="1:8" ht="15" customHeight="1" x14ac:dyDescent="0.25">
      <c r="A243" s="412" t="s">
        <v>480</v>
      </c>
      <c r="B243" s="415" t="s">
        <v>481</v>
      </c>
      <c r="C243" s="444"/>
      <c r="D243" s="444"/>
      <c r="E243" s="444"/>
      <c r="F243" s="444"/>
      <c r="G243" s="444"/>
      <c r="H243" s="445"/>
    </row>
    <row r="244" spans="1:8" ht="15" customHeight="1" x14ac:dyDescent="0.25">
      <c r="A244" s="417" t="s">
        <v>482</v>
      </c>
      <c r="B244" s="418" t="s">
        <v>483</v>
      </c>
      <c r="C244" s="446"/>
      <c r="D244" s="446"/>
      <c r="E244" s="446"/>
      <c r="F244" s="446"/>
      <c r="G244" s="446"/>
      <c r="H244" s="447"/>
    </row>
    <row r="245" spans="1:8" x14ac:dyDescent="0.25"/>
    <row r="246" spans="1:8" x14ac:dyDescent="0.25"/>
    <row r="247" spans="1:8" ht="30" customHeight="1" x14ac:dyDescent="0.25">
      <c r="A247" s="629" t="s">
        <v>3617</v>
      </c>
      <c r="B247" s="630"/>
      <c r="C247" s="631" t="s">
        <v>3618</v>
      </c>
      <c r="D247" s="632"/>
      <c r="E247" s="633"/>
      <c r="F247" s="631" t="s">
        <v>3615</v>
      </c>
      <c r="G247" s="632"/>
      <c r="H247" s="633"/>
    </row>
    <row r="248" spans="1:8" ht="15" customHeight="1" x14ac:dyDescent="0.25">
      <c r="A248" s="118" t="s">
        <v>1252</v>
      </c>
      <c r="B248" s="606" t="s">
        <v>3616</v>
      </c>
      <c r="C248" s="607"/>
      <c r="D248" s="607"/>
      <c r="E248" s="607"/>
      <c r="F248" s="607"/>
      <c r="G248" s="607"/>
      <c r="H248" s="608"/>
    </row>
    <row r="249" spans="1:8" ht="15" customHeight="1" x14ac:dyDescent="0.25">
      <c r="A249" s="138">
        <v>111</v>
      </c>
      <c r="B249" s="609" t="s">
        <v>1141</v>
      </c>
      <c r="C249" s="609"/>
      <c r="D249" s="609"/>
      <c r="E249" s="609"/>
      <c r="F249" s="609"/>
      <c r="G249" s="609"/>
      <c r="H249" s="610"/>
    </row>
    <row r="250" spans="1:8" ht="15" customHeight="1" x14ac:dyDescent="0.25">
      <c r="A250" s="139">
        <v>112</v>
      </c>
      <c r="B250" s="626" t="s">
        <v>1142</v>
      </c>
      <c r="C250" s="626"/>
      <c r="D250" s="626"/>
      <c r="E250" s="626"/>
      <c r="F250" s="626"/>
      <c r="G250" s="626"/>
      <c r="H250" s="627"/>
    </row>
    <row r="251" spans="1:8" ht="15" customHeight="1" x14ac:dyDescent="0.25">
      <c r="A251" s="139">
        <v>113</v>
      </c>
      <c r="B251" s="626" t="s">
        <v>1143</v>
      </c>
      <c r="C251" s="626"/>
      <c r="D251" s="626"/>
      <c r="E251" s="626"/>
      <c r="F251" s="626"/>
      <c r="G251" s="626"/>
      <c r="H251" s="627"/>
    </row>
    <row r="252" spans="1:8" ht="15" customHeight="1" x14ac:dyDescent="0.25">
      <c r="A252" s="139">
        <v>114</v>
      </c>
      <c r="B252" s="626" t="s">
        <v>1144</v>
      </c>
      <c r="C252" s="626"/>
      <c r="D252" s="626"/>
      <c r="E252" s="626"/>
      <c r="F252" s="626"/>
      <c r="G252" s="626"/>
      <c r="H252" s="627"/>
    </row>
    <row r="253" spans="1:8" ht="15" customHeight="1" x14ac:dyDescent="0.25">
      <c r="A253" s="139">
        <v>115</v>
      </c>
      <c r="B253" s="626" t="s">
        <v>1145</v>
      </c>
      <c r="C253" s="626"/>
      <c r="D253" s="626"/>
      <c r="E253" s="626"/>
      <c r="F253" s="626"/>
      <c r="G253" s="626"/>
      <c r="H253" s="627"/>
    </row>
    <row r="254" spans="1:8" ht="15" customHeight="1" x14ac:dyDescent="0.25">
      <c r="A254" s="139">
        <v>116</v>
      </c>
      <c r="B254" s="626" t="s">
        <v>1146</v>
      </c>
      <c r="C254" s="626"/>
      <c r="D254" s="626"/>
      <c r="E254" s="626"/>
      <c r="F254" s="626"/>
      <c r="G254" s="626"/>
      <c r="H254" s="627"/>
    </row>
    <row r="255" spans="1:8" ht="15" customHeight="1" x14ac:dyDescent="0.25">
      <c r="A255" s="139">
        <v>119</v>
      </c>
      <c r="B255" s="626" t="s">
        <v>1147</v>
      </c>
      <c r="C255" s="626"/>
      <c r="D255" s="626"/>
      <c r="E255" s="626"/>
      <c r="F255" s="626"/>
      <c r="G255" s="626"/>
      <c r="H255" s="627"/>
    </row>
    <row r="256" spans="1:8" ht="15" customHeight="1" x14ac:dyDescent="0.25">
      <c r="A256" s="139">
        <v>121</v>
      </c>
      <c r="B256" s="626" t="s">
        <v>2420</v>
      </c>
      <c r="C256" s="626"/>
      <c r="D256" s="626"/>
      <c r="E256" s="626"/>
      <c r="F256" s="626"/>
      <c r="G256" s="626"/>
      <c r="H256" s="627"/>
    </row>
    <row r="257" spans="1:8" ht="15" customHeight="1" x14ac:dyDescent="0.25">
      <c r="A257" s="139">
        <v>122</v>
      </c>
      <c r="B257" s="626" t="s">
        <v>2421</v>
      </c>
      <c r="C257" s="626"/>
      <c r="D257" s="626"/>
      <c r="E257" s="626"/>
      <c r="F257" s="626"/>
      <c r="G257" s="626"/>
      <c r="H257" s="627"/>
    </row>
    <row r="258" spans="1:8" ht="15" customHeight="1" x14ac:dyDescent="0.25">
      <c r="A258" s="139">
        <v>123</v>
      </c>
      <c r="B258" s="626" t="s">
        <v>2422</v>
      </c>
      <c r="C258" s="626"/>
      <c r="D258" s="626"/>
      <c r="E258" s="626"/>
      <c r="F258" s="626"/>
      <c r="G258" s="626"/>
      <c r="H258" s="627"/>
    </row>
    <row r="259" spans="1:8" ht="15" customHeight="1" x14ac:dyDescent="0.25">
      <c r="A259" s="139">
        <v>124</v>
      </c>
      <c r="B259" s="626" t="s">
        <v>2423</v>
      </c>
      <c r="C259" s="626"/>
      <c r="D259" s="626"/>
      <c r="E259" s="626"/>
      <c r="F259" s="626"/>
      <c r="G259" s="626"/>
      <c r="H259" s="627"/>
    </row>
    <row r="260" spans="1:8" ht="15" customHeight="1" x14ac:dyDescent="0.25">
      <c r="A260" s="139">
        <v>125</v>
      </c>
      <c r="B260" s="626" t="s">
        <v>2424</v>
      </c>
      <c r="C260" s="626"/>
      <c r="D260" s="626"/>
      <c r="E260" s="626"/>
      <c r="F260" s="626"/>
      <c r="G260" s="626"/>
      <c r="H260" s="627"/>
    </row>
    <row r="261" spans="1:8" ht="15" customHeight="1" x14ac:dyDescent="0.25">
      <c r="A261" s="139">
        <v>126</v>
      </c>
      <c r="B261" s="626" t="s">
        <v>3639</v>
      </c>
      <c r="C261" s="626"/>
      <c r="D261" s="626"/>
      <c r="E261" s="626"/>
      <c r="F261" s="626"/>
      <c r="G261" s="626"/>
      <c r="H261" s="627"/>
    </row>
    <row r="262" spans="1:8" ht="15" customHeight="1" x14ac:dyDescent="0.25">
      <c r="A262" s="139">
        <v>127</v>
      </c>
      <c r="B262" s="626" t="s">
        <v>3640</v>
      </c>
      <c r="C262" s="626"/>
      <c r="D262" s="626"/>
      <c r="E262" s="626"/>
      <c r="F262" s="626"/>
      <c r="G262" s="626"/>
      <c r="H262" s="627"/>
    </row>
    <row r="263" spans="1:8" ht="15" customHeight="1" x14ac:dyDescent="0.25">
      <c r="A263" s="139">
        <v>128</v>
      </c>
      <c r="B263" s="626" t="s">
        <v>3641</v>
      </c>
      <c r="C263" s="626"/>
      <c r="D263" s="626"/>
      <c r="E263" s="626"/>
      <c r="F263" s="626"/>
      <c r="G263" s="626"/>
      <c r="H263" s="627"/>
    </row>
    <row r="264" spans="1:8" ht="15" customHeight="1" x14ac:dyDescent="0.25">
      <c r="A264" s="139">
        <v>129</v>
      </c>
      <c r="B264" s="626" t="s">
        <v>3642</v>
      </c>
      <c r="C264" s="626"/>
      <c r="D264" s="626"/>
      <c r="E264" s="626"/>
      <c r="F264" s="626"/>
      <c r="G264" s="626"/>
      <c r="H264" s="627"/>
    </row>
    <row r="265" spans="1:8" ht="15" customHeight="1" x14ac:dyDescent="0.25">
      <c r="A265" s="139">
        <v>130</v>
      </c>
      <c r="B265" s="626" t="s">
        <v>3643</v>
      </c>
      <c r="C265" s="626"/>
      <c r="D265" s="626"/>
      <c r="E265" s="626"/>
      <c r="F265" s="626"/>
      <c r="G265" s="626"/>
      <c r="H265" s="627"/>
    </row>
    <row r="266" spans="1:8" ht="15" customHeight="1" x14ac:dyDescent="0.25">
      <c r="A266" s="139">
        <v>141</v>
      </c>
      <c r="B266" s="626" t="s">
        <v>3644</v>
      </c>
      <c r="C266" s="626"/>
      <c r="D266" s="626"/>
      <c r="E266" s="626"/>
      <c r="F266" s="626"/>
      <c r="G266" s="626"/>
      <c r="H266" s="627"/>
    </row>
    <row r="267" spans="1:8" ht="15" customHeight="1" x14ac:dyDescent="0.25">
      <c r="A267" s="139">
        <v>142</v>
      </c>
      <c r="B267" s="626" t="s">
        <v>3645</v>
      </c>
      <c r="C267" s="626"/>
      <c r="D267" s="626"/>
      <c r="E267" s="626"/>
      <c r="F267" s="626"/>
      <c r="G267" s="626"/>
      <c r="H267" s="627"/>
    </row>
    <row r="268" spans="1:8" ht="15" customHeight="1" x14ac:dyDescent="0.25">
      <c r="A268" s="139">
        <v>143</v>
      </c>
      <c r="B268" s="626" t="s">
        <v>4080</v>
      </c>
      <c r="C268" s="626"/>
      <c r="D268" s="626"/>
      <c r="E268" s="626"/>
      <c r="F268" s="626"/>
      <c r="G268" s="626"/>
      <c r="H268" s="627"/>
    </row>
    <row r="269" spans="1:8" ht="15" customHeight="1" x14ac:dyDescent="0.25">
      <c r="A269" s="139">
        <v>144</v>
      </c>
      <c r="B269" s="626" t="s">
        <v>1234</v>
      </c>
      <c r="C269" s="626"/>
      <c r="D269" s="626"/>
      <c r="E269" s="626"/>
      <c r="F269" s="626"/>
      <c r="G269" s="626"/>
      <c r="H269" s="627"/>
    </row>
    <row r="270" spans="1:8" ht="15" customHeight="1" x14ac:dyDescent="0.25">
      <c r="A270" s="139">
        <v>145</v>
      </c>
      <c r="B270" s="626" t="s">
        <v>4079</v>
      </c>
      <c r="C270" s="626"/>
      <c r="D270" s="626"/>
      <c r="E270" s="626"/>
      <c r="F270" s="626"/>
      <c r="G270" s="626"/>
      <c r="H270" s="627"/>
    </row>
    <row r="271" spans="1:8" ht="15" customHeight="1" x14ac:dyDescent="0.25">
      <c r="A271" s="139">
        <v>146</v>
      </c>
      <c r="B271" s="626" t="s">
        <v>4081</v>
      </c>
      <c r="C271" s="626"/>
      <c r="D271" s="626"/>
      <c r="E271" s="626"/>
      <c r="F271" s="626"/>
      <c r="G271" s="626"/>
      <c r="H271" s="627"/>
    </row>
    <row r="272" spans="1:8" ht="15" customHeight="1" x14ac:dyDescent="0.25">
      <c r="A272" s="139">
        <v>147</v>
      </c>
      <c r="B272" s="626" t="s">
        <v>4082</v>
      </c>
      <c r="C272" s="626"/>
      <c r="D272" s="626"/>
      <c r="E272" s="626"/>
      <c r="F272" s="626"/>
      <c r="G272" s="626"/>
      <c r="H272" s="627"/>
    </row>
    <row r="273" spans="1:8" ht="15" customHeight="1" x14ac:dyDescent="0.25">
      <c r="A273" s="139">
        <v>149</v>
      </c>
      <c r="B273" s="626" t="s">
        <v>4083</v>
      </c>
      <c r="C273" s="626"/>
      <c r="D273" s="626"/>
      <c r="E273" s="626"/>
      <c r="F273" s="626"/>
      <c r="G273" s="626"/>
      <c r="H273" s="627"/>
    </row>
    <row r="274" spans="1:8" ht="15" customHeight="1" x14ac:dyDescent="0.25">
      <c r="A274" s="139">
        <v>150</v>
      </c>
      <c r="B274" s="626" t="s">
        <v>1235</v>
      </c>
      <c r="C274" s="626"/>
      <c r="D274" s="626"/>
      <c r="E274" s="626"/>
      <c r="F274" s="626"/>
      <c r="G274" s="626"/>
      <c r="H274" s="627"/>
    </row>
    <row r="275" spans="1:8" ht="15" customHeight="1" x14ac:dyDescent="0.25">
      <c r="A275" s="139">
        <v>161</v>
      </c>
      <c r="B275" s="626" t="s">
        <v>1236</v>
      </c>
      <c r="C275" s="626"/>
      <c r="D275" s="626"/>
      <c r="E275" s="626"/>
      <c r="F275" s="626"/>
      <c r="G275" s="626"/>
      <c r="H275" s="627"/>
    </row>
    <row r="276" spans="1:8" ht="15" customHeight="1" x14ac:dyDescent="0.25">
      <c r="A276" s="139">
        <v>162</v>
      </c>
      <c r="B276" s="626" t="s">
        <v>71</v>
      </c>
      <c r="C276" s="626"/>
      <c r="D276" s="626"/>
      <c r="E276" s="626"/>
      <c r="F276" s="626"/>
      <c r="G276" s="626"/>
      <c r="H276" s="627"/>
    </row>
    <row r="277" spans="1:8" ht="15" customHeight="1" x14ac:dyDescent="0.25">
      <c r="A277" s="139">
        <v>163</v>
      </c>
      <c r="B277" s="626" t="s">
        <v>72</v>
      </c>
      <c r="C277" s="626"/>
      <c r="D277" s="626"/>
      <c r="E277" s="626"/>
      <c r="F277" s="626"/>
      <c r="G277" s="626"/>
      <c r="H277" s="627"/>
    </row>
    <row r="278" spans="1:8" ht="15" customHeight="1" x14ac:dyDescent="0.25">
      <c r="A278" s="139">
        <v>164</v>
      </c>
      <c r="B278" s="626" t="s">
        <v>73</v>
      </c>
      <c r="C278" s="626"/>
      <c r="D278" s="626"/>
      <c r="E278" s="626"/>
      <c r="F278" s="626"/>
      <c r="G278" s="626"/>
      <c r="H278" s="627"/>
    </row>
    <row r="279" spans="1:8" ht="15" customHeight="1" x14ac:dyDescent="0.25">
      <c r="A279" s="139">
        <v>170</v>
      </c>
      <c r="B279" s="626" t="s">
        <v>74</v>
      </c>
      <c r="C279" s="626"/>
      <c r="D279" s="626"/>
      <c r="E279" s="626"/>
      <c r="F279" s="626"/>
      <c r="G279" s="626"/>
      <c r="H279" s="627"/>
    </row>
    <row r="280" spans="1:8" ht="15" customHeight="1" x14ac:dyDescent="0.25">
      <c r="A280" s="139">
        <v>210</v>
      </c>
      <c r="B280" s="626" t="s">
        <v>75</v>
      </c>
      <c r="C280" s="626"/>
      <c r="D280" s="626"/>
      <c r="E280" s="626"/>
      <c r="F280" s="626"/>
      <c r="G280" s="626"/>
      <c r="H280" s="627"/>
    </row>
    <row r="281" spans="1:8" ht="15" customHeight="1" x14ac:dyDescent="0.25">
      <c r="A281" s="139">
        <v>220</v>
      </c>
      <c r="B281" s="626" t="s">
        <v>76</v>
      </c>
      <c r="C281" s="626"/>
      <c r="D281" s="626"/>
      <c r="E281" s="626"/>
      <c r="F281" s="626"/>
      <c r="G281" s="626"/>
      <c r="H281" s="627"/>
    </row>
    <row r="282" spans="1:8" ht="15" customHeight="1" x14ac:dyDescent="0.25">
      <c r="A282" s="139">
        <v>230</v>
      </c>
      <c r="B282" s="626" t="s">
        <v>77</v>
      </c>
      <c r="C282" s="626"/>
      <c r="D282" s="626"/>
      <c r="E282" s="626"/>
      <c r="F282" s="626"/>
      <c r="G282" s="626"/>
      <c r="H282" s="627"/>
    </row>
    <row r="283" spans="1:8" ht="15" customHeight="1" x14ac:dyDescent="0.25">
      <c r="A283" s="139">
        <v>240</v>
      </c>
      <c r="B283" s="626" t="s">
        <v>78</v>
      </c>
      <c r="C283" s="626"/>
      <c r="D283" s="626"/>
      <c r="E283" s="626"/>
      <c r="F283" s="626"/>
      <c r="G283" s="626"/>
      <c r="H283" s="627"/>
    </row>
    <row r="284" spans="1:8" ht="15" customHeight="1" x14ac:dyDescent="0.25">
      <c r="A284" s="139">
        <v>311</v>
      </c>
      <c r="B284" s="626" t="s">
        <v>79</v>
      </c>
      <c r="C284" s="626"/>
      <c r="D284" s="626"/>
      <c r="E284" s="626"/>
      <c r="F284" s="626"/>
      <c r="G284" s="626"/>
      <c r="H284" s="627"/>
    </row>
    <row r="285" spans="1:8" ht="15" customHeight="1" x14ac:dyDescent="0.25">
      <c r="A285" s="139">
        <v>312</v>
      </c>
      <c r="B285" s="626" t="s">
        <v>4084</v>
      </c>
      <c r="C285" s="626"/>
      <c r="D285" s="626"/>
      <c r="E285" s="626"/>
      <c r="F285" s="626"/>
      <c r="G285" s="626"/>
      <c r="H285" s="627"/>
    </row>
    <row r="286" spans="1:8" ht="15" customHeight="1" x14ac:dyDescent="0.25">
      <c r="A286" s="139">
        <v>321</v>
      </c>
      <c r="B286" s="626" t="s">
        <v>80</v>
      </c>
      <c r="C286" s="626"/>
      <c r="D286" s="626"/>
      <c r="E286" s="626"/>
      <c r="F286" s="626"/>
      <c r="G286" s="626"/>
      <c r="H286" s="627"/>
    </row>
    <row r="287" spans="1:8" ht="15" customHeight="1" x14ac:dyDescent="0.25">
      <c r="A287" s="139">
        <v>322</v>
      </c>
      <c r="B287" s="626" t="s">
        <v>81</v>
      </c>
      <c r="C287" s="626"/>
      <c r="D287" s="626"/>
      <c r="E287" s="626"/>
      <c r="F287" s="626"/>
      <c r="G287" s="626"/>
      <c r="H287" s="627"/>
    </row>
    <row r="288" spans="1:8" ht="15" customHeight="1" x14ac:dyDescent="0.25">
      <c r="A288" s="139">
        <v>510</v>
      </c>
      <c r="B288" s="626" t="s">
        <v>82</v>
      </c>
      <c r="C288" s="626"/>
      <c r="D288" s="626"/>
      <c r="E288" s="626"/>
      <c r="F288" s="626"/>
      <c r="G288" s="626"/>
      <c r="H288" s="627"/>
    </row>
    <row r="289" spans="1:8" ht="15" customHeight="1" x14ac:dyDescent="0.25">
      <c r="A289" s="139">
        <v>520</v>
      </c>
      <c r="B289" s="626" t="s">
        <v>441</v>
      </c>
      <c r="C289" s="626"/>
      <c r="D289" s="626"/>
      <c r="E289" s="626"/>
      <c r="F289" s="626"/>
      <c r="G289" s="626"/>
      <c r="H289" s="627"/>
    </row>
    <row r="290" spans="1:8" ht="15" customHeight="1" x14ac:dyDescent="0.25">
      <c r="A290" s="139">
        <v>610</v>
      </c>
      <c r="B290" s="626" t="s">
        <v>442</v>
      </c>
      <c r="C290" s="626"/>
      <c r="D290" s="626"/>
      <c r="E290" s="626"/>
      <c r="F290" s="626"/>
      <c r="G290" s="626"/>
      <c r="H290" s="627"/>
    </row>
    <row r="291" spans="1:8" ht="15" customHeight="1" x14ac:dyDescent="0.25">
      <c r="A291" s="139">
        <v>620</v>
      </c>
      <c r="B291" s="626" t="s">
        <v>443</v>
      </c>
      <c r="C291" s="626"/>
      <c r="D291" s="626"/>
      <c r="E291" s="626"/>
      <c r="F291" s="626"/>
      <c r="G291" s="626"/>
      <c r="H291" s="627"/>
    </row>
    <row r="292" spans="1:8" ht="15" customHeight="1" x14ac:dyDescent="0.25">
      <c r="A292" s="139">
        <v>710</v>
      </c>
      <c r="B292" s="626" t="s">
        <v>444</v>
      </c>
      <c r="C292" s="626"/>
      <c r="D292" s="626"/>
      <c r="E292" s="626"/>
      <c r="F292" s="626"/>
      <c r="G292" s="626"/>
      <c r="H292" s="627"/>
    </row>
    <row r="293" spans="1:8" ht="15" customHeight="1" x14ac:dyDescent="0.25">
      <c r="A293" s="139">
        <v>721</v>
      </c>
      <c r="B293" s="626" t="s">
        <v>445</v>
      </c>
      <c r="C293" s="626"/>
      <c r="D293" s="626"/>
      <c r="E293" s="626"/>
      <c r="F293" s="626"/>
      <c r="G293" s="626"/>
      <c r="H293" s="627"/>
    </row>
    <row r="294" spans="1:8" ht="15" customHeight="1" x14ac:dyDescent="0.25">
      <c r="A294" s="139">
        <v>729</v>
      </c>
      <c r="B294" s="626" t="s">
        <v>446</v>
      </c>
      <c r="C294" s="626"/>
      <c r="D294" s="626"/>
      <c r="E294" s="626"/>
      <c r="F294" s="626"/>
      <c r="G294" s="626"/>
      <c r="H294" s="627"/>
    </row>
    <row r="295" spans="1:8" ht="15" customHeight="1" x14ac:dyDescent="0.25">
      <c r="A295" s="139">
        <v>811</v>
      </c>
      <c r="B295" s="626" t="s">
        <v>447</v>
      </c>
      <c r="C295" s="626"/>
      <c r="D295" s="626"/>
      <c r="E295" s="626"/>
      <c r="F295" s="626"/>
      <c r="G295" s="626"/>
      <c r="H295" s="627"/>
    </row>
    <row r="296" spans="1:8" ht="15" customHeight="1" x14ac:dyDescent="0.25">
      <c r="A296" s="139">
        <v>812</v>
      </c>
      <c r="B296" s="626" t="s">
        <v>448</v>
      </c>
      <c r="C296" s="626"/>
      <c r="D296" s="626"/>
      <c r="E296" s="626"/>
      <c r="F296" s="626"/>
      <c r="G296" s="626"/>
      <c r="H296" s="627"/>
    </row>
    <row r="297" spans="1:8" ht="15" customHeight="1" x14ac:dyDescent="0.25">
      <c r="A297" s="139">
        <v>891</v>
      </c>
      <c r="B297" s="626" t="s">
        <v>449</v>
      </c>
      <c r="C297" s="626"/>
      <c r="D297" s="626"/>
      <c r="E297" s="626"/>
      <c r="F297" s="626"/>
      <c r="G297" s="626"/>
      <c r="H297" s="627"/>
    </row>
    <row r="298" spans="1:8" ht="15" customHeight="1" x14ac:dyDescent="0.25">
      <c r="A298" s="139">
        <v>892</v>
      </c>
      <c r="B298" s="626" t="s">
        <v>1371</v>
      </c>
      <c r="C298" s="626"/>
      <c r="D298" s="626"/>
      <c r="E298" s="626"/>
      <c r="F298" s="626"/>
      <c r="G298" s="626"/>
      <c r="H298" s="627"/>
    </row>
    <row r="299" spans="1:8" ht="15" customHeight="1" x14ac:dyDescent="0.25">
      <c r="A299" s="139">
        <v>893</v>
      </c>
      <c r="B299" s="626" t="s">
        <v>1372</v>
      </c>
      <c r="C299" s="626"/>
      <c r="D299" s="626"/>
      <c r="E299" s="626"/>
      <c r="F299" s="626"/>
      <c r="G299" s="626"/>
      <c r="H299" s="627"/>
    </row>
    <row r="300" spans="1:8" ht="15" customHeight="1" x14ac:dyDescent="0.25">
      <c r="A300" s="139">
        <v>899</v>
      </c>
      <c r="B300" s="626" t="s">
        <v>1373</v>
      </c>
      <c r="C300" s="626"/>
      <c r="D300" s="626"/>
      <c r="E300" s="626"/>
      <c r="F300" s="626"/>
      <c r="G300" s="626"/>
      <c r="H300" s="627"/>
    </row>
    <row r="301" spans="1:8" ht="15" customHeight="1" x14ac:dyDescent="0.25">
      <c r="A301" s="139">
        <v>910</v>
      </c>
      <c r="B301" s="626" t="s">
        <v>1374</v>
      </c>
      <c r="C301" s="626"/>
      <c r="D301" s="626"/>
      <c r="E301" s="626"/>
      <c r="F301" s="626"/>
      <c r="G301" s="626"/>
      <c r="H301" s="627"/>
    </row>
    <row r="302" spans="1:8" ht="15" customHeight="1" x14ac:dyDescent="0.25">
      <c r="A302" s="139">
        <v>990</v>
      </c>
      <c r="B302" s="626" t="s">
        <v>794</v>
      </c>
      <c r="C302" s="626"/>
      <c r="D302" s="626"/>
      <c r="E302" s="626"/>
      <c r="F302" s="626"/>
      <c r="G302" s="626"/>
      <c r="H302" s="627"/>
    </row>
    <row r="303" spans="1:8" ht="15" customHeight="1" x14ac:dyDescent="0.25">
      <c r="A303" s="139">
        <v>1011</v>
      </c>
      <c r="B303" s="626" t="s">
        <v>795</v>
      </c>
      <c r="C303" s="626"/>
      <c r="D303" s="626"/>
      <c r="E303" s="626"/>
      <c r="F303" s="626"/>
      <c r="G303" s="626"/>
      <c r="H303" s="627"/>
    </row>
    <row r="304" spans="1:8" ht="15" customHeight="1" x14ac:dyDescent="0.25">
      <c r="A304" s="139">
        <v>1012</v>
      </c>
      <c r="B304" s="626" t="s">
        <v>796</v>
      </c>
      <c r="C304" s="626"/>
      <c r="D304" s="626"/>
      <c r="E304" s="626"/>
      <c r="F304" s="626"/>
      <c r="G304" s="626"/>
      <c r="H304" s="627"/>
    </row>
    <row r="305" spans="1:8" ht="15" customHeight="1" x14ac:dyDescent="0.25">
      <c r="A305" s="139">
        <v>1013</v>
      </c>
      <c r="B305" s="626" t="s">
        <v>4085</v>
      </c>
      <c r="C305" s="626"/>
      <c r="D305" s="626"/>
      <c r="E305" s="626"/>
      <c r="F305" s="626"/>
      <c r="G305" s="626"/>
      <c r="H305" s="627"/>
    </row>
    <row r="306" spans="1:8" ht="15" customHeight="1" x14ac:dyDescent="0.25">
      <c r="A306" s="139">
        <v>1020</v>
      </c>
      <c r="B306" s="626" t="s">
        <v>797</v>
      </c>
      <c r="C306" s="626"/>
      <c r="D306" s="626"/>
      <c r="E306" s="626"/>
      <c r="F306" s="626"/>
      <c r="G306" s="626"/>
      <c r="H306" s="627"/>
    </row>
    <row r="307" spans="1:8" ht="15" customHeight="1" x14ac:dyDescent="0.25">
      <c r="A307" s="139">
        <v>1031</v>
      </c>
      <c r="B307" s="626" t="s">
        <v>4086</v>
      </c>
      <c r="C307" s="626"/>
      <c r="D307" s="626"/>
      <c r="E307" s="626"/>
      <c r="F307" s="626"/>
      <c r="G307" s="626"/>
      <c r="H307" s="627"/>
    </row>
    <row r="308" spans="1:8" ht="15" customHeight="1" x14ac:dyDescent="0.25">
      <c r="A308" s="139">
        <v>1032</v>
      </c>
      <c r="B308" s="626" t="s">
        <v>4087</v>
      </c>
      <c r="C308" s="626"/>
      <c r="D308" s="626"/>
      <c r="E308" s="626"/>
      <c r="F308" s="626"/>
      <c r="G308" s="626"/>
      <c r="H308" s="627"/>
    </row>
    <row r="309" spans="1:8" ht="15" customHeight="1" x14ac:dyDescent="0.25">
      <c r="A309" s="139">
        <v>1039</v>
      </c>
      <c r="B309" s="626" t="s">
        <v>798</v>
      </c>
      <c r="C309" s="626"/>
      <c r="D309" s="626"/>
      <c r="E309" s="626"/>
      <c r="F309" s="626"/>
      <c r="G309" s="626"/>
      <c r="H309" s="627"/>
    </row>
    <row r="310" spans="1:8" ht="15" customHeight="1" x14ac:dyDescent="0.25">
      <c r="A310" s="139">
        <v>1041</v>
      </c>
      <c r="B310" s="626" t="s">
        <v>799</v>
      </c>
      <c r="C310" s="626"/>
      <c r="D310" s="626"/>
      <c r="E310" s="626"/>
      <c r="F310" s="626"/>
      <c r="G310" s="626"/>
      <c r="H310" s="627"/>
    </row>
    <row r="311" spans="1:8" ht="15" customHeight="1" x14ac:dyDescent="0.25">
      <c r="A311" s="139">
        <v>1042</v>
      </c>
      <c r="B311" s="626" t="s">
        <v>803</v>
      </c>
      <c r="C311" s="626"/>
      <c r="D311" s="626"/>
      <c r="E311" s="626"/>
      <c r="F311" s="626"/>
      <c r="G311" s="626"/>
      <c r="H311" s="627"/>
    </row>
    <row r="312" spans="1:8" ht="15" customHeight="1" x14ac:dyDescent="0.25">
      <c r="A312" s="139">
        <v>1051</v>
      </c>
      <c r="B312" s="626" t="s">
        <v>804</v>
      </c>
      <c r="C312" s="626"/>
      <c r="D312" s="626"/>
      <c r="E312" s="626"/>
      <c r="F312" s="626"/>
      <c r="G312" s="626"/>
      <c r="H312" s="627"/>
    </row>
    <row r="313" spans="1:8" ht="15" customHeight="1" x14ac:dyDescent="0.25">
      <c r="A313" s="139">
        <v>1052</v>
      </c>
      <c r="B313" s="626" t="s">
        <v>4227</v>
      </c>
      <c r="C313" s="626"/>
      <c r="D313" s="626"/>
      <c r="E313" s="626"/>
      <c r="F313" s="626"/>
      <c r="G313" s="626"/>
      <c r="H313" s="627"/>
    </row>
    <row r="314" spans="1:8" ht="15" customHeight="1" x14ac:dyDescent="0.25">
      <c r="A314" s="139">
        <v>1061</v>
      </c>
      <c r="B314" s="626" t="s">
        <v>805</v>
      </c>
      <c r="C314" s="626"/>
      <c r="D314" s="626"/>
      <c r="E314" s="626"/>
      <c r="F314" s="626"/>
      <c r="G314" s="626"/>
      <c r="H314" s="627"/>
    </row>
    <row r="315" spans="1:8" ht="15" customHeight="1" x14ac:dyDescent="0.25">
      <c r="A315" s="139">
        <v>1062</v>
      </c>
      <c r="B315" s="626" t="s">
        <v>1132</v>
      </c>
      <c r="C315" s="626"/>
      <c r="D315" s="626"/>
      <c r="E315" s="626"/>
      <c r="F315" s="626"/>
      <c r="G315" s="626"/>
      <c r="H315" s="627"/>
    </row>
    <row r="316" spans="1:8" ht="15" customHeight="1" x14ac:dyDescent="0.25">
      <c r="A316" s="139">
        <v>1071</v>
      </c>
      <c r="B316" s="626" t="s">
        <v>1434</v>
      </c>
      <c r="C316" s="626"/>
      <c r="D316" s="626"/>
      <c r="E316" s="626"/>
      <c r="F316" s="626"/>
      <c r="G316" s="626"/>
      <c r="H316" s="627"/>
    </row>
    <row r="317" spans="1:8" ht="15" customHeight="1" x14ac:dyDescent="0.25">
      <c r="A317" s="139">
        <v>1072</v>
      </c>
      <c r="B317" s="626" t="s">
        <v>1435</v>
      </c>
      <c r="C317" s="626"/>
      <c r="D317" s="626"/>
      <c r="E317" s="626"/>
      <c r="F317" s="626"/>
      <c r="G317" s="626"/>
      <c r="H317" s="627"/>
    </row>
    <row r="318" spans="1:8" ht="15" customHeight="1" x14ac:dyDescent="0.25">
      <c r="A318" s="139">
        <v>1073</v>
      </c>
      <c r="B318" s="626" t="s">
        <v>1436</v>
      </c>
      <c r="C318" s="626"/>
      <c r="D318" s="626"/>
      <c r="E318" s="626"/>
      <c r="F318" s="626"/>
      <c r="G318" s="626"/>
      <c r="H318" s="627"/>
    </row>
    <row r="319" spans="1:8" ht="15" customHeight="1" x14ac:dyDescent="0.25">
      <c r="A319" s="139">
        <v>1081</v>
      </c>
      <c r="B319" s="626" t="s">
        <v>1133</v>
      </c>
      <c r="C319" s="626"/>
      <c r="D319" s="626"/>
      <c r="E319" s="626"/>
      <c r="F319" s="626"/>
      <c r="G319" s="626"/>
      <c r="H319" s="627"/>
    </row>
    <row r="320" spans="1:8" ht="15" customHeight="1" x14ac:dyDescent="0.25">
      <c r="A320" s="139">
        <v>1082</v>
      </c>
      <c r="B320" s="626" t="s">
        <v>1888</v>
      </c>
      <c r="C320" s="626"/>
      <c r="D320" s="626"/>
      <c r="E320" s="626"/>
      <c r="F320" s="626"/>
      <c r="G320" s="626"/>
      <c r="H320" s="627"/>
    </row>
    <row r="321" spans="1:8" ht="15" customHeight="1" x14ac:dyDescent="0.25">
      <c r="A321" s="139">
        <v>1083</v>
      </c>
      <c r="B321" s="626" t="s">
        <v>1134</v>
      </c>
      <c r="C321" s="626"/>
      <c r="D321" s="626"/>
      <c r="E321" s="626"/>
      <c r="F321" s="626"/>
      <c r="G321" s="626"/>
      <c r="H321" s="627"/>
    </row>
    <row r="322" spans="1:8" ht="15" customHeight="1" x14ac:dyDescent="0.25">
      <c r="A322" s="139">
        <v>1084</v>
      </c>
      <c r="B322" s="626" t="s">
        <v>1889</v>
      </c>
      <c r="C322" s="626"/>
      <c r="D322" s="626"/>
      <c r="E322" s="626"/>
      <c r="F322" s="626"/>
      <c r="G322" s="626"/>
      <c r="H322" s="627"/>
    </row>
    <row r="323" spans="1:8" ht="15" customHeight="1" x14ac:dyDescent="0.25">
      <c r="A323" s="139">
        <v>1085</v>
      </c>
      <c r="B323" s="626" t="s">
        <v>1890</v>
      </c>
      <c r="C323" s="626"/>
      <c r="D323" s="626"/>
      <c r="E323" s="626"/>
      <c r="F323" s="626"/>
      <c r="G323" s="626"/>
      <c r="H323" s="627"/>
    </row>
    <row r="324" spans="1:8" ht="15" customHeight="1" x14ac:dyDescent="0.25">
      <c r="A324" s="139">
        <v>1086</v>
      </c>
      <c r="B324" s="626" t="s">
        <v>1891</v>
      </c>
      <c r="C324" s="626"/>
      <c r="D324" s="626"/>
      <c r="E324" s="626"/>
      <c r="F324" s="626"/>
      <c r="G324" s="626"/>
      <c r="H324" s="627"/>
    </row>
    <row r="325" spans="1:8" ht="15" customHeight="1" x14ac:dyDescent="0.25">
      <c r="A325" s="139">
        <v>1089</v>
      </c>
      <c r="B325" s="626" t="s">
        <v>1892</v>
      </c>
      <c r="C325" s="626"/>
      <c r="D325" s="626"/>
      <c r="E325" s="626"/>
      <c r="F325" s="626"/>
      <c r="G325" s="626"/>
      <c r="H325" s="627"/>
    </row>
    <row r="326" spans="1:8" ht="15" customHeight="1" x14ac:dyDescent="0.25">
      <c r="A326" s="139">
        <v>1091</v>
      </c>
      <c r="B326" s="626" t="s">
        <v>615</v>
      </c>
      <c r="C326" s="626"/>
      <c r="D326" s="626"/>
      <c r="E326" s="626"/>
      <c r="F326" s="626"/>
      <c r="G326" s="626"/>
      <c r="H326" s="627"/>
    </row>
    <row r="327" spans="1:8" ht="15" customHeight="1" x14ac:dyDescent="0.25">
      <c r="A327" s="139">
        <v>1092</v>
      </c>
      <c r="B327" s="626" t="s">
        <v>1762</v>
      </c>
      <c r="C327" s="626"/>
      <c r="D327" s="626"/>
      <c r="E327" s="626"/>
      <c r="F327" s="626"/>
      <c r="G327" s="626"/>
      <c r="H327" s="627"/>
    </row>
    <row r="328" spans="1:8" ht="15" customHeight="1" x14ac:dyDescent="0.25">
      <c r="A328" s="139">
        <v>1101</v>
      </c>
      <c r="B328" s="626" t="s">
        <v>3266</v>
      </c>
      <c r="C328" s="626"/>
      <c r="D328" s="626"/>
      <c r="E328" s="626"/>
      <c r="F328" s="626"/>
      <c r="G328" s="626"/>
      <c r="H328" s="627"/>
    </row>
    <row r="329" spans="1:8" ht="15" customHeight="1" x14ac:dyDescent="0.25">
      <c r="A329" s="139">
        <v>1102</v>
      </c>
      <c r="B329" s="626" t="s">
        <v>3267</v>
      </c>
      <c r="C329" s="626"/>
      <c r="D329" s="626"/>
      <c r="E329" s="626"/>
      <c r="F329" s="626"/>
      <c r="G329" s="626"/>
      <c r="H329" s="627"/>
    </row>
    <row r="330" spans="1:8" ht="15" customHeight="1" x14ac:dyDescent="0.25">
      <c r="A330" s="139">
        <v>1103</v>
      </c>
      <c r="B330" s="626" t="s">
        <v>3268</v>
      </c>
      <c r="C330" s="626"/>
      <c r="D330" s="626"/>
      <c r="E330" s="626"/>
      <c r="F330" s="626"/>
      <c r="G330" s="626"/>
      <c r="H330" s="627"/>
    </row>
    <row r="331" spans="1:8" ht="15" customHeight="1" x14ac:dyDescent="0.25">
      <c r="A331" s="139">
        <v>1104</v>
      </c>
      <c r="B331" s="626" t="s">
        <v>1177</v>
      </c>
      <c r="C331" s="626"/>
      <c r="D331" s="626"/>
      <c r="E331" s="626"/>
      <c r="F331" s="626"/>
      <c r="G331" s="626"/>
      <c r="H331" s="627"/>
    </row>
    <row r="332" spans="1:8" ht="15" customHeight="1" x14ac:dyDescent="0.25">
      <c r="A332" s="139">
        <v>1105</v>
      </c>
      <c r="B332" s="626" t="s">
        <v>1357</v>
      </c>
      <c r="C332" s="626"/>
      <c r="D332" s="626"/>
      <c r="E332" s="626"/>
      <c r="F332" s="626"/>
      <c r="G332" s="626"/>
      <c r="H332" s="627"/>
    </row>
    <row r="333" spans="1:8" ht="15" customHeight="1" x14ac:dyDescent="0.25">
      <c r="A333" s="139">
        <v>1106</v>
      </c>
      <c r="B333" s="626" t="s">
        <v>1358</v>
      </c>
      <c r="C333" s="626"/>
      <c r="D333" s="626"/>
      <c r="E333" s="626"/>
      <c r="F333" s="626"/>
      <c r="G333" s="626"/>
      <c r="H333" s="627"/>
    </row>
    <row r="334" spans="1:8" ht="15" customHeight="1" x14ac:dyDescent="0.25">
      <c r="A334" s="139">
        <v>1107</v>
      </c>
      <c r="B334" s="626" t="s">
        <v>3001</v>
      </c>
      <c r="C334" s="626"/>
      <c r="D334" s="626"/>
      <c r="E334" s="626"/>
      <c r="F334" s="626"/>
      <c r="G334" s="626"/>
      <c r="H334" s="627"/>
    </row>
    <row r="335" spans="1:8" ht="15" customHeight="1" x14ac:dyDescent="0.25">
      <c r="A335" s="139">
        <v>1200</v>
      </c>
      <c r="B335" s="626" t="s">
        <v>3002</v>
      </c>
      <c r="C335" s="626"/>
      <c r="D335" s="626"/>
      <c r="E335" s="626"/>
      <c r="F335" s="626"/>
      <c r="G335" s="626"/>
      <c r="H335" s="627"/>
    </row>
    <row r="336" spans="1:8" ht="15" customHeight="1" x14ac:dyDescent="0.25">
      <c r="A336" s="139">
        <v>1310</v>
      </c>
      <c r="B336" s="626" t="s">
        <v>3003</v>
      </c>
      <c r="C336" s="626"/>
      <c r="D336" s="626"/>
      <c r="E336" s="626"/>
      <c r="F336" s="626"/>
      <c r="G336" s="626"/>
      <c r="H336" s="627"/>
    </row>
    <row r="337" spans="1:8" ht="15" customHeight="1" x14ac:dyDescent="0.25">
      <c r="A337" s="139">
        <v>1320</v>
      </c>
      <c r="B337" s="626" t="s">
        <v>3004</v>
      </c>
      <c r="C337" s="626"/>
      <c r="D337" s="626"/>
      <c r="E337" s="626"/>
      <c r="F337" s="626"/>
      <c r="G337" s="626"/>
      <c r="H337" s="627"/>
    </row>
    <row r="338" spans="1:8" ht="15" customHeight="1" x14ac:dyDescent="0.25">
      <c r="A338" s="139">
        <v>1330</v>
      </c>
      <c r="B338" s="626" t="s">
        <v>3704</v>
      </c>
      <c r="C338" s="626"/>
      <c r="D338" s="626"/>
      <c r="E338" s="626"/>
      <c r="F338" s="626"/>
      <c r="G338" s="626"/>
      <c r="H338" s="627"/>
    </row>
    <row r="339" spans="1:8" ht="15" customHeight="1" x14ac:dyDescent="0.25">
      <c r="A339" s="139">
        <v>1391</v>
      </c>
      <c r="B339" s="626" t="s">
        <v>1068</v>
      </c>
      <c r="C339" s="626"/>
      <c r="D339" s="626"/>
      <c r="E339" s="626"/>
      <c r="F339" s="626"/>
      <c r="G339" s="626"/>
      <c r="H339" s="627"/>
    </row>
    <row r="340" spans="1:8" ht="15" customHeight="1" x14ac:dyDescent="0.25">
      <c r="A340" s="139">
        <v>1392</v>
      </c>
      <c r="B340" s="626" t="s">
        <v>3005</v>
      </c>
      <c r="C340" s="626"/>
      <c r="D340" s="626"/>
      <c r="E340" s="626"/>
      <c r="F340" s="626"/>
      <c r="G340" s="626"/>
      <c r="H340" s="627"/>
    </row>
    <row r="341" spans="1:8" ht="15" customHeight="1" x14ac:dyDescent="0.25">
      <c r="A341" s="139">
        <v>1393</v>
      </c>
      <c r="B341" s="626" t="s">
        <v>3006</v>
      </c>
      <c r="C341" s="626"/>
      <c r="D341" s="626"/>
      <c r="E341" s="626"/>
      <c r="F341" s="626"/>
      <c r="G341" s="626"/>
      <c r="H341" s="627"/>
    </row>
    <row r="342" spans="1:8" ht="15" customHeight="1" x14ac:dyDescent="0.25">
      <c r="A342" s="139">
        <v>1394</v>
      </c>
      <c r="B342" s="626" t="s">
        <v>3007</v>
      </c>
      <c r="C342" s="626"/>
      <c r="D342" s="626"/>
      <c r="E342" s="626"/>
      <c r="F342" s="626"/>
      <c r="G342" s="626"/>
      <c r="H342" s="627"/>
    </row>
    <row r="343" spans="1:8" ht="15" customHeight="1" x14ac:dyDescent="0.25">
      <c r="A343" s="139">
        <v>1395</v>
      </c>
      <c r="B343" s="626" t="s">
        <v>3958</v>
      </c>
      <c r="C343" s="626"/>
      <c r="D343" s="626"/>
      <c r="E343" s="626"/>
      <c r="F343" s="626"/>
      <c r="G343" s="626"/>
      <c r="H343" s="627"/>
    </row>
    <row r="344" spans="1:8" ht="15" customHeight="1" x14ac:dyDescent="0.25">
      <c r="A344" s="139">
        <v>1396</v>
      </c>
      <c r="B344" s="626" t="s">
        <v>3959</v>
      </c>
      <c r="C344" s="626"/>
      <c r="D344" s="626"/>
      <c r="E344" s="626"/>
      <c r="F344" s="626"/>
      <c r="G344" s="626"/>
      <c r="H344" s="627"/>
    </row>
    <row r="345" spans="1:8" ht="15" customHeight="1" x14ac:dyDescent="0.25">
      <c r="A345" s="139">
        <v>1399</v>
      </c>
      <c r="B345" s="626" t="s">
        <v>3960</v>
      </c>
      <c r="C345" s="626"/>
      <c r="D345" s="626"/>
      <c r="E345" s="626"/>
      <c r="F345" s="626"/>
      <c r="G345" s="626"/>
      <c r="H345" s="627"/>
    </row>
    <row r="346" spans="1:8" ht="15" customHeight="1" x14ac:dyDescent="0.25">
      <c r="A346" s="139">
        <v>1411</v>
      </c>
      <c r="B346" s="626" t="s">
        <v>1070</v>
      </c>
      <c r="C346" s="626"/>
      <c r="D346" s="626"/>
      <c r="E346" s="626"/>
      <c r="F346" s="626"/>
      <c r="G346" s="626"/>
      <c r="H346" s="627"/>
    </row>
    <row r="347" spans="1:8" ht="15" customHeight="1" x14ac:dyDescent="0.25">
      <c r="A347" s="139">
        <v>1412</v>
      </c>
      <c r="B347" s="626" t="s">
        <v>3961</v>
      </c>
      <c r="C347" s="626"/>
      <c r="D347" s="626"/>
      <c r="E347" s="626"/>
      <c r="F347" s="626"/>
      <c r="G347" s="626"/>
      <c r="H347" s="627"/>
    </row>
    <row r="348" spans="1:8" ht="15" customHeight="1" x14ac:dyDescent="0.25">
      <c r="A348" s="139">
        <v>1413</v>
      </c>
      <c r="B348" s="626" t="s">
        <v>3962</v>
      </c>
      <c r="C348" s="626"/>
      <c r="D348" s="626"/>
      <c r="E348" s="626"/>
      <c r="F348" s="626"/>
      <c r="G348" s="626"/>
      <c r="H348" s="627"/>
    </row>
    <row r="349" spans="1:8" ht="15" customHeight="1" x14ac:dyDescent="0.25">
      <c r="A349" s="139">
        <v>1414</v>
      </c>
      <c r="B349" s="626" t="s">
        <v>4089</v>
      </c>
      <c r="C349" s="626"/>
      <c r="D349" s="626"/>
      <c r="E349" s="626"/>
      <c r="F349" s="626"/>
      <c r="G349" s="626"/>
      <c r="H349" s="627"/>
    </row>
    <row r="350" spans="1:8" ht="15" customHeight="1" x14ac:dyDescent="0.25">
      <c r="A350" s="139">
        <v>1419</v>
      </c>
      <c r="B350" s="626" t="s">
        <v>3963</v>
      </c>
      <c r="C350" s="626"/>
      <c r="D350" s="626"/>
      <c r="E350" s="626"/>
      <c r="F350" s="626"/>
      <c r="G350" s="626"/>
      <c r="H350" s="627"/>
    </row>
    <row r="351" spans="1:8" ht="15" customHeight="1" x14ac:dyDescent="0.25">
      <c r="A351" s="139">
        <v>1420</v>
      </c>
      <c r="B351" s="626" t="s">
        <v>3964</v>
      </c>
      <c r="C351" s="626"/>
      <c r="D351" s="626"/>
      <c r="E351" s="626"/>
      <c r="F351" s="626"/>
      <c r="G351" s="626"/>
      <c r="H351" s="627"/>
    </row>
    <row r="352" spans="1:8" ht="15" customHeight="1" x14ac:dyDescent="0.25">
      <c r="A352" s="139">
        <v>1431</v>
      </c>
      <c r="B352" s="626" t="s">
        <v>1069</v>
      </c>
      <c r="C352" s="626"/>
      <c r="D352" s="626"/>
      <c r="E352" s="626"/>
      <c r="F352" s="626"/>
      <c r="G352" s="626"/>
      <c r="H352" s="627"/>
    </row>
    <row r="353" spans="1:8" ht="15" customHeight="1" x14ac:dyDescent="0.25">
      <c r="A353" s="139">
        <v>1439</v>
      </c>
      <c r="B353" s="626" t="s">
        <v>3965</v>
      </c>
      <c r="C353" s="626"/>
      <c r="D353" s="626"/>
      <c r="E353" s="626"/>
      <c r="F353" s="626"/>
      <c r="G353" s="626"/>
      <c r="H353" s="627"/>
    </row>
    <row r="354" spans="1:8" ht="15" customHeight="1" x14ac:dyDescent="0.25">
      <c r="A354" s="139">
        <v>1511</v>
      </c>
      <c r="B354" s="626" t="s">
        <v>3966</v>
      </c>
      <c r="C354" s="626"/>
      <c r="D354" s="626"/>
      <c r="E354" s="626"/>
      <c r="F354" s="626"/>
      <c r="G354" s="626"/>
      <c r="H354" s="627"/>
    </row>
    <row r="355" spans="1:8" ht="15" customHeight="1" x14ac:dyDescent="0.25">
      <c r="A355" s="139">
        <v>1512</v>
      </c>
      <c r="B355" s="626" t="s">
        <v>3967</v>
      </c>
      <c r="C355" s="626"/>
      <c r="D355" s="626"/>
      <c r="E355" s="626"/>
      <c r="F355" s="626"/>
      <c r="G355" s="626"/>
      <c r="H355" s="627"/>
    </row>
    <row r="356" spans="1:8" ht="15" customHeight="1" x14ac:dyDescent="0.25">
      <c r="A356" s="139">
        <v>1520</v>
      </c>
      <c r="B356" s="626" t="s">
        <v>978</v>
      </c>
      <c r="C356" s="626"/>
      <c r="D356" s="626"/>
      <c r="E356" s="626"/>
      <c r="F356" s="626"/>
      <c r="G356" s="626"/>
      <c r="H356" s="627"/>
    </row>
    <row r="357" spans="1:8" ht="15" customHeight="1" x14ac:dyDescent="0.25">
      <c r="A357" s="139">
        <v>1610</v>
      </c>
      <c r="B357" s="626" t="s">
        <v>979</v>
      </c>
      <c r="C357" s="626"/>
      <c r="D357" s="626"/>
      <c r="E357" s="626"/>
      <c r="F357" s="626"/>
      <c r="G357" s="626"/>
      <c r="H357" s="627"/>
    </row>
    <row r="358" spans="1:8" ht="15" customHeight="1" x14ac:dyDescent="0.25">
      <c r="A358" s="139">
        <v>1621</v>
      </c>
      <c r="B358" s="626" t="s">
        <v>980</v>
      </c>
      <c r="C358" s="626"/>
      <c r="D358" s="626"/>
      <c r="E358" s="626"/>
      <c r="F358" s="626"/>
      <c r="G358" s="626"/>
      <c r="H358" s="627"/>
    </row>
    <row r="359" spans="1:8" ht="15" customHeight="1" x14ac:dyDescent="0.25">
      <c r="A359" s="139">
        <v>1622</v>
      </c>
      <c r="B359" s="626" t="s">
        <v>1237</v>
      </c>
      <c r="C359" s="626"/>
      <c r="D359" s="626"/>
      <c r="E359" s="626"/>
      <c r="F359" s="626"/>
      <c r="G359" s="626"/>
      <c r="H359" s="627"/>
    </row>
    <row r="360" spans="1:8" ht="15" customHeight="1" x14ac:dyDescent="0.25">
      <c r="A360" s="139">
        <v>1623</v>
      </c>
      <c r="B360" s="626" t="s">
        <v>1238</v>
      </c>
      <c r="C360" s="626"/>
      <c r="D360" s="626"/>
      <c r="E360" s="626"/>
      <c r="F360" s="626"/>
      <c r="G360" s="626"/>
      <c r="H360" s="627"/>
    </row>
    <row r="361" spans="1:8" ht="15" customHeight="1" x14ac:dyDescent="0.25">
      <c r="A361" s="139">
        <v>1624</v>
      </c>
      <c r="B361" s="626" t="s">
        <v>4090</v>
      </c>
      <c r="C361" s="626"/>
      <c r="D361" s="626"/>
      <c r="E361" s="626"/>
      <c r="F361" s="626"/>
      <c r="G361" s="626"/>
      <c r="H361" s="627"/>
    </row>
    <row r="362" spans="1:8" ht="15" customHeight="1" x14ac:dyDescent="0.25">
      <c r="A362" s="139">
        <v>1629</v>
      </c>
      <c r="B362" s="626" t="s">
        <v>984</v>
      </c>
      <c r="C362" s="626"/>
      <c r="D362" s="626"/>
      <c r="E362" s="626"/>
      <c r="F362" s="626"/>
      <c r="G362" s="626"/>
      <c r="H362" s="627"/>
    </row>
    <row r="363" spans="1:8" ht="15" customHeight="1" x14ac:dyDescent="0.25">
      <c r="A363" s="139">
        <v>1711</v>
      </c>
      <c r="B363" s="626" t="s">
        <v>4091</v>
      </c>
      <c r="C363" s="626"/>
      <c r="D363" s="626"/>
      <c r="E363" s="626"/>
      <c r="F363" s="626"/>
      <c r="G363" s="626"/>
      <c r="H363" s="627"/>
    </row>
    <row r="364" spans="1:8" ht="15" customHeight="1" x14ac:dyDescent="0.25">
      <c r="A364" s="139">
        <v>1712</v>
      </c>
      <c r="B364" s="626" t="s">
        <v>4092</v>
      </c>
      <c r="C364" s="626"/>
      <c r="D364" s="626"/>
      <c r="E364" s="626"/>
      <c r="F364" s="626"/>
      <c r="G364" s="626"/>
      <c r="H364" s="627"/>
    </row>
    <row r="365" spans="1:8" ht="15" customHeight="1" x14ac:dyDescent="0.25">
      <c r="A365" s="139">
        <v>1721</v>
      </c>
      <c r="B365" s="626" t="s">
        <v>985</v>
      </c>
      <c r="C365" s="626"/>
      <c r="D365" s="626"/>
      <c r="E365" s="626"/>
      <c r="F365" s="626"/>
      <c r="G365" s="626"/>
      <c r="H365" s="627"/>
    </row>
    <row r="366" spans="1:8" ht="15" customHeight="1" x14ac:dyDescent="0.25">
      <c r="A366" s="139">
        <v>1722</v>
      </c>
      <c r="B366" s="626" t="s">
        <v>1123</v>
      </c>
      <c r="C366" s="626"/>
      <c r="D366" s="626"/>
      <c r="E366" s="626"/>
      <c r="F366" s="626"/>
      <c r="G366" s="626"/>
      <c r="H366" s="627"/>
    </row>
    <row r="367" spans="1:8" ht="15" customHeight="1" x14ac:dyDescent="0.25">
      <c r="A367" s="139">
        <v>1723</v>
      </c>
      <c r="B367" s="626" t="s">
        <v>4093</v>
      </c>
      <c r="C367" s="626"/>
      <c r="D367" s="626"/>
      <c r="E367" s="626"/>
      <c r="F367" s="626"/>
      <c r="G367" s="626"/>
      <c r="H367" s="627"/>
    </row>
    <row r="368" spans="1:8" ht="15" customHeight="1" x14ac:dyDescent="0.25">
      <c r="A368" s="139">
        <v>1724</v>
      </c>
      <c r="B368" s="626" t="s">
        <v>4094</v>
      </c>
      <c r="C368" s="626"/>
      <c r="D368" s="626"/>
      <c r="E368" s="626"/>
      <c r="F368" s="626"/>
      <c r="G368" s="626"/>
      <c r="H368" s="627"/>
    </row>
    <row r="369" spans="1:8" ht="15" customHeight="1" x14ac:dyDescent="0.25">
      <c r="A369" s="139">
        <v>1729</v>
      </c>
      <c r="B369" s="626" t="s">
        <v>1124</v>
      </c>
      <c r="C369" s="626"/>
      <c r="D369" s="626"/>
      <c r="E369" s="626"/>
      <c r="F369" s="626"/>
      <c r="G369" s="626"/>
      <c r="H369" s="627"/>
    </row>
    <row r="370" spans="1:8" ht="15" customHeight="1" x14ac:dyDescent="0.25">
      <c r="A370" s="139">
        <v>1811</v>
      </c>
      <c r="B370" s="626" t="s">
        <v>4316</v>
      </c>
      <c r="C370" s="626"/>
      <c r="D370" s="626"/>
      <c r="E370" s="626"/>
      <c r="F370" s="626"/>
      <c r="G370" s="626"/>
      <c r="H370" s="627"/>
    </row>
    <row r="371" spans="1:8" ht="15" customHeight="1" x14ac:dyDescent="0.25">
      <c r="A371" s="139">
        <v>1812</v>
      </c>
      <c r="B371" s="626" t="s">
        <v>1125</v>
      </c>
      <c r="C371" s="626"/>
      <c r="D371" s="626"/>
      <c r="E371" s="626"/>
      <c r="F371" s="626"/>
      <c r="G371" s="626"/>
      <c r="H371" s="627"/>
    </row>
    <row r="372" spans="1:8" ht="15" customHeight="1" x14ac:dyDescent="0.25">
      <c r="A372" s="139">
        <v>1813</v>
      </c>
      <c r="B372" s="626" t="s">
        <v>1126</v>
      </c>
      <c r="C372" s="626"/>
      <c r="D372" s="626"/>
      <c r="E372" s="626"/>
      <c r="F372" s="626"/>
      <c r="G372" s="626"/>
      <c r="H372" s="627"/>
    </row>
    <row r="373" spans="1:8" ht="15" customHeight="1" x14ac:dyDescent="0.25">
      <c r="A373" s="139">
        <v>1814</v>
      </c>
      <c r="B373" s="626" t="s">
        <v>1127</v>
      </c>
      <c r="C373" s="626"/>
      <c r="D373" s="626"/>
      <c r="E373" s="626"/>
      <c r="F373" s="626"/>
      <c r="G373" s="626"/>
      <c r="H373" s="627"/>
    </row>
    <row r="374" spans="1:8" ht="15" customHeight="1" x14ac:dyDescent="0.25">
      <c r="A374" s="139">
        <v>1820</v>
      </c>
      <c r="B374" s="626" t="s">
        <v>3122</v>
      </c>
      <c r="C374" s="626"/>
      <c r="D374" s="626"/>
      <c r="E374" s="626"/>
      <c r="F374" s="626"/>
      <c r="G374" s="626"/>
      <c r="H374" s="627"/>
    </row>
    <row r="375" spans="1:8" ht="15" customHeight="1" x14ac:dyDescent="0.25">
      <c r="A375" s="139">
        <v>1910</v>
      </c>
      <c r="B375" s="626" t="s">
        <v>4317</v>
      </c>
      <c r="C375" s="626"/>
      <c r="D375" s="626"/>
      <c r="E375" s="626"/>
      <c r="F375" s="626"/>
      <c r="G375" s="626"/>
      <c r="H375" s="627"/>
    </row>
    <row r="376" spans="1:8" ht="15" customHeight="1" x14ac:dyDescent="0.25">
      <c r="A376" s="139">
        <v>1920</v>
      </c>
      <c r="B376" s="626" t="s">
        <v>3123</v>
      </c>
      <c r="C376" s="626"/>
      <c r="D376" s="626"/>
      <c r="E376" s="626"/>
      <c r="F376" s="626"/>
      <c r="G376" s="626"/>
      <c r="H376" s="627"/>
    </row>
    <row r="377" spans="1:8" ht="15" customHeight="1" x14ac:dyDescent="0.25">
      <c r="A377" s="139">
        <v>2011</v>
      </c>
      <c r="B377" s="626" t="s">
        <v>2156</v>
      </c>
      <c r="C377" s="626"/>
      <c r="D377" s="626"/>
      <c r="E377" s="626"/>
      <c r="F377" s="626"/>
      <c r="G377" s="626"/>
      <c r="H377" s="627"/>
    </row>
    <row r="378" spans="1:8" ht="15" customHeight="1" x14ac:dyDescent="0.25">
      <c r="A378" s="139">
        <v>2012</v>
      </c>
      <c r="B378" s="626" t="s">
        <v>2157</v>
      </c>
      <c r="C378" s="626"/>
      <c r="D378" s="626"/>
      <c r="E378" s="626"/>
      <c r="F378" s="626"/>
      <c r="G378" s="626"/>
      <c r="H378" s="627"/>
    </row>
    <row r="379" spans="1:8" ht="15" customHeight="1" x14ac:dyDescent="0.25">
      <c r="A379" s="139">
        <v>2013</v>
      </c>
      <c r="B379" s="626" t="s">
        <v>3124</v>
      </c>
      <c r="C379" s="626"/>
      <c r="D379" s="626"/>
      <c r="E379" s="626"/>
      <c r="F379" s="626"/>
      <c r="G379" s="626"/>
      <c r="H379" s="627"/>
    </row>
    <row r="380" spans="1:8" ht="15" customHeight="1" x14ac:dyDescent="0.25">
      <c r="A380" s="139">
        <v>2014</v>
      </c>
      <c r="B380" s="626" t="s">
        <v>3125</v>
      </c>
      <c r="C380" s="626"/>
      <c r="D380" s="626"/>
      <c r="E380" s="626"/>
      <c r="F380" s="626"/>
      <c r="G380" s="626"/>
      <c r="H380" s="627"/>
    </row>
    <row r="381" spans="1:8" ht="15" customHeight="1" x14ac:dyDescent="0.25">
      <c r="A381" s="139">
        <v>2015</v>
      </c>
      <c r="B381" s="626" t="s">
        <v>3126</v>
      </c>
      <c r="C381" s="626"/>
      <c r="D381" s="626"/>
      <c r="E381" s="626"/>
      <c r="F381" s="626"/>
      <c r="G381" s="626"/>
      <c r="H381" s="627"/>
    </row>
    <row r="382" spans="1:8" ht="15" customHeight="1" x14ac:dyDescent="0.25">
      <c r="A382" s="139">
        <v>2016</v>
      </c>
      <c r="B382" s="626" t="s">
        <v>3127</v>
      </c>
      <c r="C382" s="626"/>
      <c r="D382" s="626"/>
      <c r="E382" s="626"/>
      <c r="F382" s="626"/>
      <c r="G382" s="626"/>
      <c r="H382" s="627"/>
    </row>
    <row r="383" spans="1:8" ht="15" customHeight="1" x14ac:dyDescent="0.25">
      <c r="A383" s="139">
        <v>2017</v>
      </c>
      <c r="B383" s="626" t="s">
        <v>3128</v>
      </c>
      <c r="C383" s="626"/>
      <c r="D383" s="626"/>
      <c r="E383" s="626"/>
      <c r="F383" s="626"/>
      <c r="G383" s="626"/>
      <c r="H383" s="627"/>
    </row>
    <row r="384" spans="1:8" ht="15" customHeight="1" x14ac:dyDescent="0.25">
      <c r="A384" s="139">
        <v>2020</v>
      </c>
      <c r="B384" s="626" t="s">
        <v>3129</v>
      </c>
      <c r="C384" s="626"/>
      <c r="D384" s="626"/>
      <c r="E384" s="626"/>
      <c r="F384" s="626"/>
      <c r="G384" s="626"/>
      <c r="H384" s="627"/>
    </row>
    <row r="385" spans="1:8" ht="15" customHeight="1" x14ac:dyDescent="0.25">
      <c r="A385" s="139">
        <v>2030</v>
      </c>
      <c r="B385" s="626" t="s">
        <v>3130</v>
      </c>
      <c r="C385" s="626"/>
      <c r="D385" s="626"/>
      <c r="E385" s="626"/>
      <c r="F385" s="626"/>
      <c r="G385" s="626"/>
      <c r="H385" s="627"/>
    </row>
    <row r="386" spans="1:8" ht="15" customHeight="1" x14ac:dyDescent="0.25">
      <c r="A386" s="139">
        <v>2041</v>
      </c>
      <c r="B386" s="626" t="s">
        <v>3443</v>
      </c>
      <c r="C386" s="626"/>
      <c r="D386" s="626"/>
      <c r="E386" s="626"/>
      <c r="F386" s="626"/>
      <c r="G386" s="626"/>
      <c r="H386" s="627"/>
    </row>
    <row r="387" spans="1:8" ht="15" customHeight="1" x14ac:dyDescent="0.25">
      <c r="A387" s="139">
        <v>2042</v>
      </c>
      <c r="B387" s="626" t="s">
        <v>3469</v>
      </c>
      <c r="C387" s="626"/>
      <c r="D387" s="626"/>
      <c r="E387" s="626"/>
      <c r="F387" s="626"/>
      <c r="G387" s="626"/>
      <c r="H387" s="627"/>
    </row>
    <row r="388" spans="1:8" ht="15" customHeight="1" x14ac:dyDescent="0.25">
      <c r="A388" s="139">
        <v>2051</v>
      </c>
      <c r="B388" s="626" t="s">
        <v>2264</v>
      </c>
      <c r="C388" s="626"/>
      <c r="D388" s="626"/>
      <c r="E388" s="626"/>
      <c r="F388" s="626"/>
      <c r="G388" s="626"/>
      <c r="H388" s="627"/>
    </row>
    <row r="389" spans="1:8" ht="15" customHeight="1" x14ac:dyDescent="0.25">
      <c r="A389" s="139">
        <v>2052</v>
      </c>
      <c r="B389" s="626" t="s">
        <v>3470</v>
      </c>
      <c r="C389" s="626"/>
      <c r="D389" s="626"/>
      <c r="E389" s="626"/>
      <c r="F389" s="626"/>
      <c r="G389" s="626"/>
      <c r="H389" s="627"/>
    </row>
    <row r="390" spans="1:8" ht="15" customHeight="1" x14ac:dyDescent="0.25">
      <c r="A390" s="139">
        <v>2053</v>
      </c>
      <c r="B390" s="626" t="s">
        <v>2265</v>
      </c>
      <c r="C390" s="626"/>
      <c r="D390" s="626"/>
      <c r="E390" s="626"/>
      <c r="F390" s="626"/>
      <c r="G390" s="626"/>
      <c r="H390" s="627"/>
    </row>
    <row r="391" spans="1:8" ht="15" customHeight="1" x14ac:dyDescent="0.25">
      <c r="A391" s="139">
        <v>2059</v>
      </c>
      <c r="B391" s="626" t="s">
        <v>3471</v>
      </c>
      <c r="C391" s="626"/>
      <c r="D391" s="626"/>
      <c r="E391" s="626"/>
      <c r="F391" s="626"/>
      <c r="G391" s="626"/>
      <c r="H391" s="627"/>
    </row>
    <row r="392" spans="1:8" ht="15" customHeight="1" x14ac:dyDescent="0.25">
      <c r="A392" s="139">
        <v>2060</v>
      </c>
      <c r="B392" s="626" t="s">
        <v>3472</v>
      </c>
      <c r="C392" s="626"/>
      <c r="D392" s="626"/>
      <c r="E392" s="626"/>
      <c r="F392" s="626"/>
      <c r="G392" s="626"/>
      <c r="H392" s="627"/>
    </row>
    <row r="393" spans="1:8" ht="15" customHeight="1" x14ac:dyDescent="0.25">
      <c r="A393" s="139">
        <v>2110</v>
      </c>
      <c r="B393" s="626" t="s">
        <v>3473</v>
      </c>
      <c r="C393" s="626"/>
      <c r="D393" s="626"/>
      <c r="E393" s="626"/>
      <c r="F393" s="626"/>
      <c r="G393" s="626"/>
      <c r="H393" s="627"/>
    </row>
    <row r="394" spans="1:8" ht="15" customHeight="1" x14ac:dyDescent="0.25">
      <c r="A394" s="139">
        <v>2120</v>
      </c>
      <c r="B394" s="626" t="s">
        <v>2263</v>
      </c>
      <c r="C394" s="626"/>
      <c r="D394" s="626"/>
      <c r="E394" s="626"/>
      <c r="F394" s="626"/>
      <c r="G394" s="626"/>
      <c r="H394" s="627"/>
    </row>
    <row r="395" spans="1:8" ht="15" customHeight="1" x14ac:dyDescent="0.25">
      <c r="A395" s="139">
        <v>2211</v>
      </c>
      <c r="B395" s="626" t="s">
        <v>3474</v>
      </c>
      <c r="C395" s="626"/>
      <c r="D395" s="626"/>
      <c r="E395" s="626"/>
      <c r="F395" s="626"/>
      <c r="G395" s="626"/>
      <c r="H395" s="627"/>
    </row>
    <row r="396" spans="1:8" ht="15" customHeight="1" x14ac:dyDescent="0.25">
      <c r="A396" s="139">
        <v>2219</v>
      </c>
      <c r="B396" s="626" t="s">
        <v>2266</v>
      </c>
      <c r="C396" s="626"/>
      <c r="D396" s="626"/>
      <c r="E396" s="626"/>
      <c r="F396" s="626"/>
      <c r="G396" s="626"/>
      <c r="H396" s="627"/>
    </row>
    <row r="397" spans="1:8" ht="15" customHeight="1" x14ac:dyDescent="0.25">
      <c r="A397" s="139">
        <v>2221</v>
      </c>
      <c r="B397" s="626" t="s">
        <v>3475</v>
      </c>
      <c r="C397" s="626"/>
      <c r="D397" s="626"/>
      <c r="E397" s="626"/>
      <c r="F397" s="626"/>
      <c r="G397" s="626"/>
      <c r="H397" s="627"/>
    </row>
    <row r="398" spans="1:8" ht="15" customHeight="1" x14ac:dyDescent="0.25">
      <c r="A398" s="139">
        <v>2222</v>
      </c>
      <c r="B398" s="626" t="s">
        <v>2267</v>
      </c>
      <c r="C398" s="626"/>
      <c r="D398" s="626"/>
      <c r="E398" s="626"/>
      <c r="F398" s="626"/>
      <c r="G398" s="626"/>
      <c r="H398" s="627"/>
    </row>
    <row r="399" spans="1:8" ht="15" customHeight="1" x14ac:dyDescent="0.25">
      <c r="A399" s="139">
        <v>2223</v>
      </c>
      <c r="B399" s="626" t="s">
        <v>3476</v>
      </c>
      <c r="C399" s="626"/>
      <c r="D399" s="626"/>
      <c r="E399" s="626"/>
      <c r="F399" s="626"/>
      <c r="G399" s="626"/>
      <c r="H399" s="627"/>
    </row>
    <row r="400" spans="1:8" ht="15" customHeight="1" x14ac:dyDescent="0.25">
      <c r="A400" s="139">
        <v>2229</v>
      </c>
      <c r="B400" s="626" t="s">
        <v>3477</v>
      </c>
      <c r="C400" s="626"/>
      <c r="D400" s="626"/>
      <c r="E400" s="626"/>
      <c r="F400" s="626"/>
      <c r="G400" s="626"/>
      <c r="H400" s="627"/>
    </row>
    <row r="401" spans="1:8" ht="15" customHeight="1" x14ac:dyDescent="0.25">
      <c r="A401" s="139">
        <v>2311</v>
      </c>
      <c r="B401" s="626" t="s">
        <v>3308</v>
      </c>
      <c r="C401" s="626"/>
      <c r="D401" s="626"/>
      <c r="E401" s="626"/>
      <c r="F401" s="626"/>
      <c r="G401" s="626"/>
      <c r="H401" s="627"/>
    </row>
    <row r="402" spans="1:8" ht="15" customHeight="1" x14ac:dyDescent="0.25">
      <c r="A402" s="139">
        <v>2312</v>
      </c>
      <c r="B402" s="626" t="s">
        <v>3309</v>
      </c>
      <c r="C402" s="626"/>
      <c r="D402" s="626"/>
      <c r="E402" s="626"/>
      <c r="F402" s="626"/>
      <c r="G402" s="626"/>
      <c r="H402" s="627"/>
    </row>
    <row r="403" spans="1:8" ht="15" customHeight="1" x14ac:dyDescent="0.25">
      <c r="A403" s="139">
        <v>2313</v>
      </c>
      <c r="B403" s="626" t="s">
        <v>4314</v>
      </c>
      <c r="C403" s="626"/>
      <c r="D403" s="626"/>
      <c r="E403" s="626"/>
      <c r="F403" s="626"/>
      <c r="G403" s="626"/>
      <c r="H403" s="627"/>
    </row>
    <row r="404" spans="1:8" ht="15" customHeight="1" x14ac:dyDescent="0.25">
      <c r="A404" s="139">
        <v>2314</v>
      </c>
      <c r="B404" s="626" t="s">
        <v>4315</v>
      </c>
      <c r="C404" s="626"/>
      <c r="D404" s="626"/>
      <c r="E404" s="626"/>
      <c r="F404" s="626"/>
      <c r="G404" s="626"/>
      <c r="H404" s="627"/>
    </row>
    <row r="405" spans="1:8" ht="15" customHeight="1" x14ac:dyDescent="0.25">
      <c r="A405" s="139">
        <v>2319</v>
      </c>
      <c r="B405" s="626" t="s">
        <v>3478</v>
      </c>
      <c r="C405" s="626"/>
      <c r="D405" s="626"/>
      <c r="E405" s="626"/>
      <c r="F405" s="626"/>
      <c r="G405" s="626"/>
      <c r="H405" s="627"/>
    </row>
    <row r="406" spans="1:8" ht="15" customHeight="1" x14ac:dyDescent="0.25">
      <c r="A406" s="139">
        <v>2320</v>
      </c>
      <c r="B406" s="626" t="s">
        <v>3479</v>
      </c>
      <c r="C406" s="626"/>
      <c r="D406" s="626"/>
      <c r="E406" s="626"/>
      <c r="F406" s="626"/>
      <c r="G406" s="626"/>
      <c r="H406" s="627"/>
    </row>
    <row r="407" spans="1:8" ht="15" customHeight="1" x14ac:dyDescent="0.25">
      <c r="A407" s="139">
        <v>2331</v>
      </c>
      <c r="B407" s="626" t="s">
        <v>204</v>
      </c>
      <c r="C407" s="626"/>
      <c r="D407" s="626"/>
      <c r="E407" s="626"/>
      <c r="F407" s="626"/>
      <c r="G407" s="626"/>
      <c r="H407" s="627"/>
    </row>
    <row r="408" spans="1:8" ht="15" customHeight="1" x14ac:dyDescent="0.25">
      <c r="A408" s="139">
        <v>2332</v>
      </c>
      <c r="B408" s="626" t="s">
        <v>3369</v>
      </c>
      <c r="C408" s="626"/>
      <c r="D408" s="626"/>
      <c r="E408" s="626"/>
      <c r="F408" s="626"/>
      <c r="G408" s="626"/>
      <c r="H408" s="627"/>
    </row>
    <row r="409" spans="1:8" ht="15" customHeight="1" x14ac:dyDescent="0.25">
      <c r="A409" s="139">
        <v>2341</v>
      </c>
      <c r="B409" s="626" t="s">
        <v>3370</v>
      </c>
      <c r="C409" s="626"/>
      <c r="D409" s="626"/>
      <c r="E409" s="626"/>
      <c r="F409" s="626"/>
      <c r="G409" s="626"/>
      <c r="H409" s="627"/>
    </row>
    <row r="410" spans="1:8" ht="15" customHeight="1" x14ac:dyDescent="0.25">
      <c r="A410" s="139">
        <v>2342</v>
      </c>
      <c r="B410" s="626" t="s">
        <v>3371</v>
      </c>
      <c r="C410" s="626"/>
      <c r="D410" s="626"/>
      <c r="E410" s="626"/>
      <c r="F410" s="626"/>
      <c r="G410" s="626"/>
      <c r="H410" s="627"/>
    </row>
    <row r="411" spans="1:8" ht="15" customHeight="1" x14ac:dyDescent="0.25">
      <c r="A411" s="139">
        <v>2343</v>
      </c>
      <c r="B411" s="626" t="s">
        <v>3372</v>
      </c>
      <c r="C411" s="626"/>
      <c r="D411" s="626"/>
      <c r="E411" s="626"/>
      <c r="F411" s="626"/>
      <c r="G411" s="626"/>
      <c r="H411" s="627"/>
    </row>
    <row r="412" spans="1:8" ht="15" customHeight="1" x14ac:dyDescent="0.25">
      <c r="A412" s="139">
        <v>2344</v>
      </c>
      <c r="B412" s="626" t="s">
        <v>1345</v>
      </c>
      <c r="C412" s="626"/>
      <c r="D412" s="626"/>
      <c r="E412" s="626"/>
      <c r="F412" s="626"/>
      <c r="G412" s="626"/>
      <c r="H412" s="627"/>
    </row>
    <row r="413" spans="1:8" ht="15" customHeight="1" x14ac:dyDescent="0.25">
      <c r="A413" s="139">
        <v>2349</v>
      </c>
      <c r="B413" s="626" t="s">
        <v>1346</v>
      </c>
      <c r="C413" s="626"/>
      <c r="D413" s="626"/>
      <c r="E413" s="626"/>
      <c r="F413" s="626"/>
      <c r="G413" s="626"/>
      <c r="H413" s="627"/>
    </row>
    <row r="414" spans="1:8" ht="15" customHeight="1" x14ac:dyDescent="0.25">
      <c r="A414" s="139">
        <v>2351</v>
      </c>
      <c r="B414" s="626" t="s">
        <v>205</v>
      </c>
      <c r="C414" s="626"/>
      <c r="D414" s="626"/>
      <c r="E414" s="626"/>
      <c r="F414" s="626"/>
      <c r="G414" s="626"/>
      <c r="H414" s="627"/>
    </row>
    <row r="415" spans="1:8" ht="15" customHeight="1" x14ac:dyDescent="0.25">
      <c r="A415" s="139">
        <v>2352</v>
      </c>
      <c r="B415" s="626" t="s">
        <v>1347</v>
      </c>
      <c r="C415" s="626"/>
      <c r="D415" s="626"/>
      <c r="E415" s="626"/>
      <c r="F415" s="626"/>
      <c r="G415" s="626"/>
      <c r="H415" s="627"/>
    </row>
    <row r="416" spans="1:8" ht="15" customHeight="1" x14ac:dyDescent="0.25">
      <c r="A416" s="139">
        <v>2361</v>
      </c>
      <c r="B416" s="626" t="s">
        <v>1348</v>
      </c>
      <c r="C416" s="626"/>
      <c r="D416" s="626"/>
      <c r="E416" s="626"/>
      <c r="F416" s="626"/>
      <c r="G416" s="626"/>
      <c r="H416" s="627"/>
    </row>
    <row r="417" spans="1:8" ht="15" customHeight="1" x14ac:dyDescent="0.25">
      <c r="A417" s="139">
        <v>2362</v>
      </c>
      <c r="B417" s="626" t="s">
        <v>1349</v>
      </c>
      <c r="C417" s="626"/>
      <c r="D417" s="626"/>
      <c r="E417" s="626"/>
      <c r="F417" s="626"/>
      <c r="G417" s="626"/>
      <c r="H417" s="627"/>
    </row>
    <row r="418" spans="1:8" ht="15" customHeight="1" x14ac:dyDescent="0.25">
      <c r="A418" s="139">
        <v>2363</v>
      </c>
      <c r="B418" s="626" t="s">
        <v>89</v>
      </c>
      <c r="C418" s="626"/>
      <c r="D418" s="626"/>
      <c r="E418" s="626"/>
      <c r="F418" s="626"/>
      <c r="G418" s="626"/>
      <c r="H418" s="627"/>
    </row>
    <row r="419" spans="1:8" ht="15" customHeight="1" x14ac:dyDescent="0.25">
      <c r="A419" s="139">
        <v>2364</v>
      </c>
      <c r="B419" s="626" t="s">
        <v>90</v>
      </c>
      <c r="C419" s="626"/>
      <c r="D419" s="626"/>
      <c r="E419" s="626"/>
      <c r="F419" s="626"/>
      <c r="G419" s="626"/>
      <c r="H419" s="627"/>
    </row>
    <row r="420" spans="1:8" ht="15" customHeight="1" x14ac:dyDescent="0.25">
      <c r="A420" s="139">
        <v>2365</v>
      </c>
      <c r="B420" s="626" t="s">
        <v>91</v>
      </c>
      <c r="C420" s="626"/>
      <c r="D420" s="626"/>
      <c r="E420" s="626"/>
      <c r="F420" s="626"/>
      <c r="G420" s="626"/>
      <c r="H420" s="627"/>
    </row>
    <row r="421" spans="1:8" ht="15" customHeight="1" x14ac:dyDescent="0.25">
      <c r="A421" s="139">
        <v>2369</v>
      </c>
      <c r="B421" s="626" t="s">
        <v>1350</v>
      </c>
      <c r="C421" s="626"/>
      <c r="D421" s="626"/>
      <c r="E421" s="626"/>
      <c r="F421" s="626"/>
      <c r="G421" s="626"/>
      <c r="H421" s="627"/>
    </row>
    <row r="422" spans="1:8" ht="15" customHeight="1" x14ac:dyDescent="0.25">
      <c r="A422" s="139">
        <v>2370</v>
      </c>
      <c r="B422" s="626" t="s">
        <v>1351</v>
      </c>
      <c r="C422" s="626"/>
      <c r="D422" s="626"/>
      <c r="E422" s="626"/>
      <c r="F422" s="626"/>
      <c r="G422" s="626"/>
      <c r="H422" s="627"/>
    </row>
    <row r="423" spans="1:8" ht="15" customHeight="1" x14ac:dyDescent="0.25">
      <c r="A423" s="139">
        <v>2391</v>
      </c>
      <c r="B423" s="626" t="s">
        <v>4014</v>
      </c>
      <c r="C423" s="626"/>
      <c r="D423" s="626"/>
      <c r="E423" s="626"/>
      <c r="F423" s="626"/>
      <c r="G423" s="626"/>
      <c r="H423" s="627"/>
    </row>
    <row r="424" spans="1:8" ht="15" customHeight="1" x14ac:dyDescent="0.25">
      <c r="A424" s="139">
        <v>2399</v>
      </c>
      <c r="B424" s="626" t="s">
        <v>1352</v>
      </c>
      <c r="C424" s="626"/>
      <c r="D424" s="626"/>
      <c r="E424" s="626"/>
      <c r="F424" s="626"/>
      <c r="G424" s="626"/>
      <c r="H424" s="627"/>
    </row>
    <row r="425" spans="1:8" ht="15" customHeight="1" x14ac:dyDescent="0.25">
      <c r="A425" s="139">
        <v>2410</v>
      </c>
      <c r="B425" s="626" t="s">
        <v>1353</v>
      </c>
      <c r="C425" s="626"/>
      <c r="D425" s="626"/>
      <c r="E425" s="626"/>
      <c r="F425" s="626"/>
      <c r="G425" s="626"/>
      <c r="H425" s="627"/>
    </row>
    <row r="426" spans="1:8" ht="15" customHeight="1" x14ac:dyDescent="0.25">
      <c r="A426" s="139">
        <v>2420</v>
      </c>
      <c r="B426" s="626" t="s">
        <v>1354</v>
      </c>
      <c r="C426" s="626"/>
      <c r="D426" s="626"/>
      <c r="E426" s="626"/>
      <c r="F426" s="626"/>
      <c r="G426" s="626"/>
      <c r="H426" s="627"/>
    </row>
    <row r="427" spans="1:8" ht="15" customHeight="1" x14ac:dyDescent="0.25">
      <c r="A427" s="139">
        <v>2431</v>
      </c>
      <c r="B427" s="626" t="s">
        <v>1355</v>
      </c>
      <c r="C427" s="626"/>
      <c r="D427" s="626"/>
      <c r="E427" s="626"/>
      <c r="F427" s="626"/>
      <c r="G427" s="626"/>
      <c r="H427" s="627"/>
    </row>
    <row r="428" spans="1:8" ht="15" customHeight="1" x14ac:dyDescent="0.25">
      <c r="A428" s="139">
        <v>2432</v>
      </c>
      <c r="B428" s="626" t="s">
        <v>2462</v>
      </c>
      <c r="C428" s="626"/>
      <c r="D428" s="626"/>
      <c r="E428" s="626"/>
      <c r="F428" s="626"/>
      <c r="G428" s="626"/>
      <c r="H428" s="627"/>
    </row>
    <row r="429" spans="1:8" ht="15" customHeight="1" x14ac:dyDescent="0.25">
      <c r="A429" s="139">
        <v>2433</v>
      </c>
      <c r="B429" s="626" t="s">
        <v>2463</v>
      </c>
      <c r="C429" s="626"/>
      <c r="D429" s="626"/>
      <c r="E429" s="626"/>
      <c r="F429" s="626"/>
      <c r="G429" s="626"/>
      <c r="H429" s="627"/>
    </row>
    <row r="430" spans="1:8" ht="15" customHeight="1" x14ac:dyDescent="0.25">
      <c r="A430" s="139">
        <v>2434</v>
      </c>
      <c r="B430" s="626" t="s">
        <v>2464</v>
      </c>
      <c r="C430" s="626"/>
      <c r="D430" s="626"/>
      <c r="E430" s="626"/>
      <c r="F430" s="626"/>
      <c r="G430" s="626"/>
      <c r="H430" s="627"/>
    </row>
    <row r="431" spans="1:8" ht="15" customHeight="1" x14ac:dyDescent="0.25">
      <c r="A431" s="139">
        <v>2441</v>
      </c>
      <c r="B431" s="626" t="s">
        <v>4015</v>
      </c>
      <c r="C431" s="626"/>
      <c r="D431" s="626"/>
      <c r="E431" s="626"/>
      <c r="F431" s="626"/>
      <c r="G431" s="626"/>
      <c r="H431" s="627"/>
    </row>
    <row r="432" spans="1:8" ht="15" customHeight="1" x14ac:dyDescent="0.25">
      <c r="A432" s="139">
        <v>2442</v>
      </c>
      <c r="B432" s="626" t="s">
        <v>4016</v>
      </c>
      <c r="C432" s="626"/>
      <c r="D432" s="626"/>
      <c r="E432" s="626"/>
      <c r="F432" s="626"/>
      <c r="G432" s="626"/>
      <c r="H432" s="627"/>
    </row>
    <row r="433" spans="1:8" ht="15" customHeight="1" x14ac:dyDescent="0.25">
      <c r="A433" s="139">
        <v>2443</v>
      </c>
      <c r="B433" s="626" t="s">
        <v>2465</v>
      </c>
      <c r="C433" s="626"/>
      <c r="D433" s="626"/>
      <c r="E433" s="626"/>
      <c r="F433" s="626"/>
      <c r="G433" s="626"/>
      <c r="H433" s="627"/>
    </row>
    <row r="434" spans="1:8" ht="15" customHeight="1" x14ac:dyDescent="0.25">
      <c r="A434" s="139">
        <v>2444</v>
      </c>
      <c r="B434" s="626" t="s">
        <v>4017</v>
      </c>
      <c r="C434" s="626"/>
      <c r="D434" s="626"/>
      <c r="E434" s="626"/>
      <c r="F434" s="626"/>
      <c r="G434" s="626"/>
      <c r="H434" s="627"/>
    </row>
    <row r="435" spans="1:8" ht="15" customHeight="1" x14ac:dyDescent="0.25">
      <c r="A435" s="139">
        <v>2445</v>
      </c>
      <c r="B435" s="626" t="s">
        <v>4018</v>
      </c>
      <c r="C435" s="626"/>
      <c r="D435" s="626"/>
      <c r="E435" s="626"/>
      <c r="F435" s="626"/>
      <c r="G435" s="626"/>
      <c r="H435" s="627"/>
    </row>
    <row r="436" spans="1:8" ht="15" customHeight="1" x14ac:dyDescent="0.25">
      <c r="A436" s="139">
        <v>2446</v>
      </c>
      <c r="B436" s="626" t="s">
        <v>2466</v>
      </c>
      <c r="C436" s="626"/>
      <c r="D436" s="626"/>
      <c r="E436" s="626"/>
      <c r="F436" s="626"/>
      <c r="G436" s="626"/>
      <c r="H436" s="627"/>
    </row>
    <row r="437" spans="1:8" ht="15" customHeight="1" x14ac:dyDescent="0.25">
      <c r="A437" s="139">
        <v>2451</v>
      </c>
      <c r="B437" s="626" t="s">
        <v>4019</v>
      </c>
      <c r="C437" s="626"/>
      <c r="D437" s="626"/>
      <c r="E437" s="626"/>
      <c r="F437" s="626"/>
      <c r="G437" s="626"/>
      <c r="H437" s="627"/>
    </row>
    <row r="438" spans="1:8" ht="15" customHeight="1" x14ac:dyDescent="0.25">
      <c r="A438" s="139">
        <v>2452</v>
      </c>
      <c r="B438" s="626" t="s">
        <v>4020</v>
      </c>
      <c r="C438" s="626"/>
      <c r="D438" s="626"/>
      <c r="E438" s="626"/>
      <c r="F438" s="626"/>
      <c r="G438" s="626"/>
      <c r="H438" s="627"/>
    </row>
    <row r="439" spans="1:8" ht="15" customHeight="1" x14ac:dyDescent="0.25">
      <c r="A439" s="139">
        <v>2453</v>
      </c>
      <c r="B439" s="626" t="s">
        <v>2467</v>
      </c>
      <c r="C439" s="626"/>
      <c r="D439" s="626"/>
      <c r="E439" s="626"/>
      <c r="F439" s="626"/>
      <c r="G439" s="626"/>
      <c r="H439" s="627"/>
    </row>
    <row r="440" spans="1:8" ht="15" customHeight="1" x14ac:dyDescent="0.25">
      <c r="A440" s="139">
        <v>2454</v>
      </c>
      <c r="B440" s="626" t="s">
        <v>2468</v>
      </c>
      <c r="C440" s="626"/>
      <c r="D440" s="626"/>
      <c r="E440" s="626"/>
      <c r="F440" s="626"/>
      <c r="G440" s="626"/>
      <c r="H440" s="627"/>
    </row>
    <row r="441" spans="1:8" ht="15" customHeight="1" x14ac:dyDescent="0.25">
      <c r="A441" s="139">
        <v>2511</v>
      </c>
      <c r="B441" s="626" t="s">
        <v>2469</v>
      </c>
      <c r="C441" s="626"/>
      <c r="D441" s="626"/>
      <c r="E441" s="626"/>
      <c r="F441" s="626"/>
      <c r="G441" s="626"/>
      <c r="H441" s="627"/>
    </row>
    <row r="442" spans="1:8" ht="15" customHeight="1" x14ac:dyDescent="0.25">
      <c r="A442" s="139">
        <v>2512</v>
      </c>
      <c r="B442" s="626" t="s">
        <v>2470</v>
      </c>
      <c r="C442" s="626"/>
      <c r="D442" s="626"/>
      <c r="E442" s="626"/>
      <c r="F442" s="626"/>
      <c r="G442" s="626"/>
      <c r="H442" s="627"/>
    </row>
    <row r="443" spans="1:8" ht="15" customHeight="1" x14ac:dyDescent="0.25">
      <c r="A443" s="139">
        <v>2521</v>
      </c>
      <c r="B443" s="626" t="s">
        <v>1335</v>
      </c>
      <c r="C443" s="626"/>
      <c r="D443" s="626"/>
      <c r="E443" s="626"/>
      <c r="F443" s="626"/>
      <c r="G443" s="626"/>
      <c r="H443" s="627"/>
    </row>
    <row r="444" spans="1:8" ht="15" customHeight="1" x14ac:dyDescent="0.25">
      <c r="A444" s="139">
        <v>2529</v>
      </c>
      <c r="B444" s="626" t="s">
        <v>3288</v>
      </c>
      <c r="C444" s="626"/>
      <c r="D444" s="626"/>
      <c r="E444" s="626"/>
      <c r="F444" s="626"/>
      <c r="G444" s="626"/>
      <c r="H444" s="627"/>
    </row>
    <row r="445" spans="1:8" ht="15" customHeight="1" x14ac:dyDescent="0.25">
      <c r="A445" s="139">
        <v>2530</v>
      </c>
      <c r="B445" s="626" t="s">
        <v>2960</v>
      </c>
      <c r="C445" s="626"/>
      <c r="D445" s="626"/>
      <c r="E445" s="626"/>
      <c r="F445" s="626"/>
      <c r="G445" s="626"/>
      <c r="H445" s="627"/>
    </row>
    <row r="446" spans="1:8" ht="15" customHeight="1" x14ac:dyDescent="0.25">
      <c r="A446" s="139">
        <v>2540</v>
      </c>
      <c r="B446" s="626" t="s">
        <v>2961</v>
      </c>
      <c r="C446" s="626"/>
      <c r="D446" s="626"/>
      <c r="E446" s="626"/>
      <c r="F446" s="626"/>
      <c r="G446" s="626"/>
      <c r="H446" s="627"/>
    </row>
    <row r="447" spans="1:8" ht="15" customHeight="1" x14ac:dyDescent="0.25">
      <c r="A447" s="139">
        <v>2550</v>
      </c>
      <c r="B447" s="626" t="s">
        <v>2962</v>
      </c>
      <c r="C447" s="626"/>
      <c r="D447" s="626"/>
      <c r="E447" s="626"/>
      <c r="F447" s="626"/>
      <c r="G447" s="626"/>
      <c r="H447" s="627"/>
    </row>
    <row r="448" spans="1:8" ht="15" customHeight="1" x14ac:dyDescent="0.25">
      <c r="A448" s="139">
        <v>2561</v>
      </c>
      <c r="B448" s="626" t="s">
        <v>2963</v>
      </c>
      <c r="C448" s="626"/>
      <c r="D448" s="626"/>
      <c r="E448" s="626"/>
      <c r="F448" s="626"/>
      <c r="G448" s="626"/>
      <c r="H448" s="627"/>
    </row>
    <row r="449" spans="1:8" ht="15" customHeight="1" x14ac:dyDescent="0.25">
      <c r="A449" s="139">
        <v>2562</v>
      </c>
      <c r="B449" s="626" t="s">
        <v>2964</v>
      </c>
      <c r="C449" s="626"/>
      <c r="D449" s="626"/>
      <c r="E449" s="626"/>
      <c r="F449" s="626"/>
      <c r="G449" s="626"/>
      <c r="H449" s="627"/>
    </row>
    <row r="450" spans="1:8" ht="15" customHeight="1" x14ac:dyDescent="0.25">
      <c r="A450" s="139">
        <v>2571</v>
      </c>
      <c r="B450" s="626" t="s">
        <v>3651</v>
      </c>
      <c r="C450" s="626"/>
      <c r="D450" s="626"/>
      <c r="E450" s="626"/>
      <c r="F450" s="626"/>
      <c r="G450" s="626"/>
      <c r="H450" s="627"/>
    </row>
    <row r="451" spans="1:8" ht="15" customHeight="1" x14ac:dyDescent="0.25">
      <c r="A451" s="139">
        <v>2572</v>
      </c>
      <c r="B451" s="626" t="s">
        <v>3653</v>
      </c>
      <c r="C451" s="626"/>
      <c r="D451" s="626"/>
      <c r="E451" s="626"/>
      <c r="F451" s="626"/>
      <c r="G451" s="626"/>
      <c r="H451" s="627"/>
    </row>
    <row r="452" spans="1:8" ht="15" customHeight="1" x14ac:dyDescent="0.25">
      <c r="A452" s="139">
        <v>2573</v>
      </c>
      <c r="B452" s="626" t="s">
        <v>3652</v>
      </c>
      <c r="C452" s="626"/>
      <c r="D452" s="626"/>
      <c r="E452" s="626"/>
      <c r="F452" s="626"/>
      <c r="G452" s="626"/>
      <c r="H452" s="627"/>
    </row>
    <row r="453" spans="1:8" ht="15" customHeight="1" x14ac:dyDescent="0.25">
      <c r="A453" s="139">
        <v>2591</v>
      </c>
      <c r="B453" s="626" t="s">
        <v>2965</v>
      </c>
      <c r="C453" s="626"/>
      <c r="D453" s="626"/>
      <c r="E453" s="626"/>
      <c r="F453" s="626"/>
      <c r="G453" s="626"/>
      <c r="H453" s="627"/>
    </row>
    <row r="454" spans="1:8" ht="15" customHeight="1" x14ac:dyDescent="0.25">
      <c r="A454" s="139">
        <v>2592</v>
      </c>
      <c r="B454" s="626" t="s">
        <v>2966</v>
      </c>
      <c r="C454" s="626"/>
      <c r="D454" s="626"/>
      <c r="E454" s="626"/>
      <c r="F454" s="626"/>
      <c r="G454" s="626"/>
      <c r="H454" s="627"/>
    </row>
    <row r="455" spans="1:8" ht="15" customHeight="1" x14ac:dyDescent="0.25">
      <c r="A455" s="139">
        <v>2593</v>
      </c>
      <c r="B455" s="626" t="s">
        <v>2967</v>
      </c>
      <c r="C455" s="626"/>
      <c r="D455" s="626"/>
      <c r="E455" s="626"/>
      <c r="F455" s="626"/>
      <c r="G455" s="626"/>
      <c r="H455" s="627"/>
    </row>
    <row r="456" spans="1:8" ht="15" customHeight="1" x14ac:dyDescent="0.25">
      <c r="A456" s="139">
        <v>2594</v>
      </c>
      <c r="B456" s="626" t="s">
        <v>2968</v>
      </c>
      <c r="C456" s="626"/>
      <c r="D456" s="626"/>
      <c r="E456" s="626"/>
      <c r="F456" s="626"/>
      <c r="G456" s="626"/>
      <c r="H456" s="627"/>
    </row>
    <row r="457" spans="1:8" ht="15" customHeight="1" x14ac:dyDescent="0.25">
      <c r="A457" s="139">
        <v>2599</v>
      </c>
      <c r="B457" s="626" t="s">
        <v>1517</v>
      </c>
      <c r="C457" s="626"/>
      <c r="D457" s="626"/>
      <c r="E457" s="626"/>
      <c r="F457" s="626"/>
      <c r="G457" s="626"/>
      <c r="H457" s="627"/>
    </row>
    <row r="458" spans="1:8" ht="15" customHeight="1" x14ac:dyDescent="0.25">
      <c r="A458" s="139">
        <v>2611</v>
      </c>
      <c r="B458" s="626" t="s">
        <v>1518</v>
      </c>
      <c r="C458" s="626"/>
      <c r="D458" s="626"/>
      <c r="E458" s="626"/>
      <c r="F458" s="626"/>
      <c r="G458" s="626"/>
      <c r="H458" s="627"/>
    </row>
    <row r="459" spans="1:8" ht="15" customHeight="1" x14ac:dyDescent="0.25">
      <c r="A459" s="139">
        <v>2612</v>
      </c>
      <c r="B459" s="626" t="s">
        <v>1519</v>
      </c>
      <c r="C459" s="626"/>
      <c r="D459" s="626"/>
      <c r="E459" s="626"/>
      <c r="F459" s="626"/>
      <c r="G459" s="626"/>
      <c r="H459" s="627"/>
    </row>
    <row r="460" spans="1:8" ht="15" customHeight="1" x14ac:dyDescent="0.25">
      <c r="A460" s="139">
        <v>2620</v>
      </c>
      <c r="B460" s="626" t="s">
        <v>1520</v>
      </c>
      <c r="C460" s="626"/>
      <c r="D460" s="626"/>
      <c r="E460" s="626"/>
      <c r="F460" s="626"/>
      <c r="G460" s="626"/>
      <c r="H460" s="627"/>
    </row>
    <row r="461" spans="1:8" ht="15" customHeight="1" x14ac:dyDescent="0.25">
      <c r="A461" s="139">
        <v>2630</v>
      </c>
      <c r="B461" s="626" t="s">
        <v>1521</v>
      </c>
      <c r="C461" s="626"/>
      <c r="D461" s="626"/>
      <c r="E461" s="626"/>
      <c r="F461" s="626"/>
      <c r="G461" s="626"/>
      <c r="H461" s="627"/>
    </row>
    <row r="462" spans="1:8" ht="15" customHeight="1" x14ac:dyDescent="0.25">
      <c r="A462" s="139">
        <v>2640</v>
      </c>
      <c r="B462" s="626" t="s">
        <v>1522</v>
      </c>
      <c r="C462" s="626"/>
      <c r="D462" s="626"/>
      <c r="E462" s="626"/>
      <c r="F462" s="626"/>
      <c r="G462" s="626"/>
      <c r="H462" s="627"/>
    </row>
    <row r="463" spans="1:8" ht="15" customHeight="1" x14ac:dyDescent="0.25">
      <c r="A463" s="139">
        <v>2651</v>
      </c>
      <c r="B463" s="626" t="s">
        <v>1523</v>
      </c>
      <c r="C463" s="626"/>
      <c r="D463" s="626"/>
      <c r="E463" s="626"/>
      <c r="F463" s="626"/>
      <c r="G463" s="626"/>
      <c r="H463" s="627"/>
    </row>
    <row r="464" spans="1:8" ht="15" customHeight="1" x14ac:dyDescent="0.25">
      <c r="A464" s="139">
        <v>2652</v>
      </c>
      <c r="B464" s="626" t="s">
        <v>1524</v>
      </c>
      <c r="C464" s="626"/>
      <c r="D464" s="626"/>
      <c r="E464" s="626"/>
      <c r="F464" s="626"/>
      <c r="G464" s="626"/>
      <c r="H464" s="627"/>
    </row>
    <row r="465" spans="1:8" ht="15" customHeight="1" x14ac:dyDescent="0.25">
      <c r="A465" s="139">
        <v>2660</v>
      </c>
      <c r="B465" s="626" t="s">
        <v>1525</v>
      </c>
      <c r="C465" s="626"/>
      <c r="D465" s="626"/>
      <c r="E465" s="626"/>
      <c r="F465" s="626"/>
      <c r="G465" s="626"/>
      <c r="H465" s="627"/>
    </row>
    <row r="466" spans="1:8" ht="15" customHeight="1" x14ac:dyDescent="0.25">
      <c r="A466" s="139">
        <v>2670</v>
      </c>
      <c r="B466" s="626" t="s">
        <v>1526</v>
      </c>
      <c r="C466" s="626"/>
      <c r="D466" s="626"/>
      <c r="E466" s="626"/>
      <c r="F466" s="626"/>
      <c r="G466" s="626"/>
      <c r="H466" s="627"/>
    </row>
    <row r="467" spans="1:8" ht="15" customHeight="1" x14ac:dyDescent="0.25">
      <c r="A467" s="139">
        <v>2680</v>
      </c>
      <c r="B467" s="626" t="s">
        <v>1527</v>
      </c>
      <c r="C467" s="626"/>
      <c r="D467" s="626"/>
      <c r="E467" s="626"/>
      <c r="F467" s="626"/>
      <c r="G467" s="626"/>
      <c r="H467" s="627"/>
    </row>
    <row r="468" spans="1:8" ht="15" customHeight="1" x14ac:dyDescent="0.25">
      <c r="A468" s="139">
        <v>2711</v>
      </c>
      <c r="B468" s="626" t="s">
        <v>1528</v>
      </c>
      <c r="C468" s="626"/>
      <c r="D468" s="626"/>
      <c r="E468" s="626"/>
      <c r="F468" s="626"/>
      <c r="G468" s="626"/>
      <c r="H468" s="627"/>
    </row>
    <row r="469" spans="1:8" ht="15" customHeight="1" x14ac:dyDescent="0.25">
      <c r="A469" s="139">
        <v>2712</v>
      </c>
      <c r="B469" s="626" t="s">
        <v>1529</v>
      </c>
      <c r="C469" s="626"/>
      <c r="D469" s="626"/>
      <c r="E469" s="626"/>
      <c r="F469" s="626"/>
      <c r="G469" s="626"/>
      <c r="H469" s="627"/>
    </row>
    <row r="470" spans="1:8" ht="15" customHeight="1" x14ac:dyDescent="0.25">
      <c r="A470" s="139">
        <v>2720</v>
      </c>
      <c r="B470" s="626" t="s">
        <v>1530</v>
      </c>
      <c r="C470" s="626"/>
      <c r="D470" s="626"/>
      <c r="E470" s="626"/>
      <c r="F470" s="626"/>
      <c r="G470" s="626"/>
      <c r="H470" s="627"/>
    </row>
    <row r="471" spans="1:8" ht="15" customHeight="1" x14ac:dyDescent="0.25">
      <c r="A471" s="139">
        <v>2731</v>
      </c>
      <c r="B471" s="626" t="s">
        <v>1531</v>
      </c>
      <c r="C471" s="626"/>
      <c r="D471" s="626"/>
      <c r="E471" s="626"/>
      <c r="F471" s="626"/>
      <c r="G471" s="626"/>
      <c r="H471" s="627"/>
    </row>
    <row r="472" spans="1:8" ht="15" customHeight="1" x14ac:dyDescent="0.25">
      <c r="A472" s="139">
        <v>2732</v>
      </c>
      <c r="B472" s="626" t="s">
        <v>1532</v>
      </c>
      <c r="C472" s="626"/>
      <c r="D472" s="626"/>
      <c r="E472" s="626"/>
      <c r="F472" s="626"/>
      <c r="G472" s="626"/>
      <c r="H472" s="627"/>
    </row>
    <row r="473" spans="1:8" ht="15" customHeight="1" x14ac:dyDescent="0.25">
      <c r="A473" s="139">
        <v>2733</v>
      </c>
      <c r="B473" s="626" t="s">
        <v>596</v>
      </c>
      <c r="C473" s="626"/>
      <c r="D473" s="626"/>
      <c r="E473" s="626"/>
      <c r="F473" s="626"/>
      <c r="G473" s="626"/>
      <c r="H473" s="627"/>
    </row>
    <row r="474" spans="1:8" ht="15" customHeight="1" x14ac:dyDescent="0.25">
      <c r="A474" s="139">
        <v>2740</v>
      </c>
      <c r="B474" s="626" t="s">
        <v>1745</v>
      </c>
      <c r="C474" s="626"/>
      <c r="D474" s="626"/>
      <c r="E474" s="626"/>
      <c r="F474" s="626"/>
      <c r="G474" s="626"/>
      <c r="H474" s="627"/>
    </row>
    <row r="475" spans="1:8" ht="15" customHeight="1" x14ac:dyDescent="0.25">
      <c r="A475" s="139">
        <v>2751</v>
      </c>
      <c r="B475" s="626" t="s">
        <v>1746</v>
      </c>
      <c r="C475" s="626"/>
      <c r="D475" s="626"/>
      <c r="E475" s="626"/>
      <c r="F475" s="626"/>
      <c r="G475" s="626"/>
      <c r="H475" s="627"/>
    </row>
    <row r="476" spans="1:8" ht="15" customHeight="1" x14ac:dyDescent="0.25">
      <c r="A476" s="139">
        <v>2752</v>
      </c>
      <c r="B476" s="626" t="s">
        <v>1747</v>
      </c>
      <c r="C476" s="626"/>
      <c r="D476" s="626"/>
      <c r="E476" s="626"/>
      <c r="F476" s="626"/>
      <c r="G476" s="626"/>
      <c r="H476" s="627"/>
    </row>
    <row r="477" spans="1:8" ht="15" customHeight="1" x14ac:dyDescent="0.25">
      <c r="A477" s="139">
        <v>2790</v>
      </c>
      <c r="B477" s="626" t="s">
        <v>1748</v>
      </c>
      <c r="C477" s="626"/>
      <c r="D477" s="626"/>
      <c r="E477" s="626"/>
      <c r="F477" s="626"/>
      <c r="G477" s="626"/>
      <c r="H477" s="627"/>
    </row>
    <row r="478" spans="1:8" ht="15" customHeight="1" x14ac:dyDescent="0.25">
      <c r="A478" s="139">
        <v>2811</v>
      </c>
      <c r="B478" s="626" t="s">
        <v>1765</v>
      </c>
      <c r="C478" s="626"/>
      <c r="D478" s="626"/>
      <c r="E478" s="626"/>
      <c r="F478" s="626"/>
      <c r="G478" s="626"/>
      <c r="H478" s="627"/>
    </row>
    <row r="479" spans="1:8" ht="15" customHeight="1" x14ac:dyDescent="0.25">
      <c r="A479" s="139">
        <v>2812</v>
      </c>
      <c r="B479" s="626" t="s">
        <v>1766</v>
      </c>
      <c r="C479" s="626"/>
      <c r="D479" s="626"/>
      <c r="E479" s="626"/>
      <c r="F479" s="626"/>
      <c r="G479" s="626"/>
      <c r="H479" s="627"/>
    </row>
    <row r="480" spans="1:8" ht="15" customHeight="1" x14ac:dyDescent="0.25">
      <c r="A480" s="139">
        <v>2813</v>
      </c>
      <c r="B480" s="626" t="s">
        <v>1767</v>
      </c>
      <c r="C480" s="626"/>
      <c r="D480" s="626"/>
      <c r="E480" s="626"/>
      <c r="F480" s="626"/>
      <c r="G480" s="626"/>
      <c r="H480" s="627"/>
    </row>
    <row r="481" spans="1:8" ht="15" customHeight="1" x14ac:dyDescent="0.25">
      <c r="A481" s="139">
        <v>2814</v>
      </c>
      <c r="B481" s="626" t="s">
        <v>4169</v>
      </c>
      <c r="C481" s="626"/>
      <c r="D481" s="626"/>
      <c r="E481" s="626"/>
      <c r="F481" s="626"/>
      <c r="G481" s="626"/>
      <c r="H481" s="627"/>
    </row>
    <row r="482" spans="1:8" ht="15" customHeight="1" x14ac:dyDescent="0.25">
      <c r="A482" s="139">
        <v>2815</v>
      </c>
      <c r="B482" s="626" t="s">
        <v>4170</v>
      </c>
      <c r="C482" s="626"/>
      <c r="D482" s="626"/>
      <c r="E482" s="626"/>
      <c r="F482" s="626"/>
      <c r="G482" s="626"/>
      <c r="H482" s="627"/>
    </row>
    <row r="483" spans="1:8" ht="15" customHeight="1" x14ac:dyDescent="0.25">
      <c r="A483" s="139">
        <v>2821</v>
      </c>
      <c r="B483" s="626" t="s">
        <v>4171</v>
      </c>
      <c r="C483" s="626"/>
      <c r="D483" s="626"/>
      <c r="E483" s="626"/>
      <c r="F483" s="626"/>
      <c r="G483" s="626"/>
      <c r="H483" s="627"/>
    </row>
    <row r="484" spans="1:8" ht="15" customHeight="1" x14ac:dyDescent="0.25">
      <c r="A484" s="139">
        <v>2822</v>
      </c>
      <c r="B484" s="626" t="s">
        <v>3654</v>
      </c>
      <c r="C484" s="626"/>
      <c r="D484" s="626"/>
      <c r="E484" s="626"/>
      <c r="F484" s="626"/>
      <c r="G484" s="626"/>
      <c r="H484" s="627"/>
    </row>
    <row r="485" spans="1:8" ht="15" customHeight="1" x14ac:dyDescent="0.25">
      <c r="A485" s="139">
        <v>2823</v>
      </c>
      <c r="B485" s="626" t="s">
        <v>4172</v>
      </c>
      <c r="C485" s="626"/>
      <c r="D485" s="626"/>
      <c r="E485" s="626"/>
      <c r="F485" s="626"/>
      <c r="G485" s="626"/>
      <c r="H485" s="627"/>
    </row>
    <row r="486" spans="1:8" ht="15" customHeight="1" x14ac:dyDescent="0.25">
      <c r="A486" s="139">
        <v>2824</v>
      </c>
      <c r="B486" s="626" t="s">
        <v>4173</v>
      </c>
      <c r="C486" s="626"/>
      <c r="D486" s="626"/>
      <c r="E486" s="626"/>
      <c r="F486" s="626"/>
      <c r="G486" s="626"/>
      <c r="H486" s="627"/>
    </row>
    <row r="487" spans="1:8" ht="15" customHeight="1" x14ac:dyDescent="0.25">
      <c r="A487" s="139">
        <v>2825</v>
      </c>
      <c r="B487" s="626" t="s">
        <v>4174</v>
      </c>
      <c r="C487" s="626"/>
      <c r="D487" s="626"/>
      <c r="E487" s="626"/>
      <c r="F487" s="626"/>
      <c r="G487" s="626"/>
      <c r="H487" s="627"/>
    </row>
    <row r="488" spans="1:8" ht="15" customHeight="1" x14ac:dyDescent="0.25">
      <c r="A488" s="139">
        <v>2829</v>
      </c>
      <c r="B488" s="626" t="s">
        <v>4175</v>
      </c>
      <c r="C488" s="626"/>
      <c r="D488" s="626"/>
      <c r="E488" s="626"/>
      <c r="F488" s="626"/>
      <c r="G488" s="626"/>
      <c r="H488" s="627"/>
    </row>
    <row r="489" spans="1:8" ht="15" customHeight="1" x14ac:dyDescent="0.25">
      <c r="A489" s="139">
        <v>2830</v>
      </c>
      <c r="B489" s="626" t="s">
        <v>3311</v>
      </c>
      <c r="C489" s="626"/>
      <c r="D489" s="626"/>
      <c r="E489" s="626"/>
      <c r="F489" s="626"/>
      <c r="G489" s="626"/>
      <c r="H489" s="627"/>
    </row>
    <row r="490" spans="1:8" ht="15" customHeight="1" x14ac:dyDescent="0.25">
      <c r="A490" s="139">
        <v>2841</v>
      </c>
      <c r="B490" s="626" t="s">
        <v>3312</v>
      </c>
      <c r="C490" s="626"/>
      <c r="D490" s="626"/>
      <c r="E490" s="626"/>
      <c r="F490" s="626"/>
      <c r="G490" s="626"/>
      <c r="H490" s="627"/>
    </row>
    <row r="491" spans="1:8" ht="15" customHeight="1" x14ac:dyDescent="0.25">
      <c r="A491" s="139">
        <v>2849</v>
      </c>
      <c r="B491" s="626" t="s">
        <v>3313</v>
      </c>
      <c r="C491" s="626"/>
      <c r="D491" s="626"/>
      <c r="E491" s="626"/>
      <c r="F491" s="626"/>
      <c r="G491" s="626"/>
      <c r="H491" s="627"/>
    </row>
    <row r="492" spans="1:8" ht="15" customHeight="1" x14ac:dyDescent="0.25">
      <c r="A492" s="139">
        <v>2891</v>
      </c>
      <c r="B492" s="626" t="s">
        <v>3655</v>
      </c>
      <c r="C492" s="626"/>
      <c r="D492" s="626"/>
      <c r="E492" s="626"/>
      <c r="F492" s="626"/>
      <c r="G492" s="626"/>
      <c r="H492" s="627"/>
    </row>
    <row r="493" spans="1:8" ht="15" customHeight="1" x14ac:dyDescent="0.25">
      <c r="A493" s="139">
        <v>2892</v>
      </c>
      <c r="B493" s="626" t="s">
        <v>3314</v>
      </c>
      <c r="C493" s="626"/>
      <c r="D493" s="626"/>
      <c r="E493" s="626"/>
      <c r="F493" s="626"/>
      <c r="G493" s="626"/>
      <c r="H493" s="627"/>
    </row>
    <row r="494" spans="1:8" ht="15" customHeight="1" x14ac:dyDescent="0.25">
      <c r="A494" s="139">
        <v>2893</v>
      </c>
      <c r="B494" s="626" t="s">
        <v>3315</v>
      </c>
      <c r="C494" s="626"/>
      <c r="D494" s="626"/>
      <c r="E494" s="626"/>
      <c r="F494" s="626"/>
      <c r="G494" s="626"/>
      <c r="H494" s="627"/>
    </row>
    <row r="495" spans="1:8" ht="15" customHeight="1" x14ac:dyDescent="0.25">
      <c r="A495" s="139">
        <v>2894</v>
      </c>
      <c r="B495" s="626" t="s">
        <v>3316</v>
      </c>
      <c r="C495" s="626"/>
      <c r="D495" s="626"/>
      <c r="E495" s="626"/>
      <c r="F495" s="626"/>
      <c r="G495" s="626"/>
      <c r="H495" s="627"/>
    </row>
    <row r="496" spans="1:8" ht="15" customHeight="1" x14ac:dyDescent="0.25">
      <c r="A496" s="139">
        <v>2895</v>
      </c>
      <c r="B496" s="626" t="s">
        <v>3317</v>
      </c>
      <c r="C496" s="626"/>
      <c r="D496" s="626"/>
      <c r="E496" s="626"/>
      <c r="F496" s="626"/>
      <c r="G496" s="626"/>
      <c r="H496" s="627"/>
    </row>
    <row r="497" spans="1:8" ht="15" customHeight="1" x14ac:dyDescent="0.25">
      <c r="A497" s="139">
        <v>2896</v>
      </c>
      <c r="B497" s="626" t="s">
        <v>3732</v>
      </c>
      <c r="C497" s="626"/>
      <c r="D497" s="626"/>
      <c r="E497" s="626"/>
      <c r="F497" s="626"/>
      <c r="G497" s="626"/>
      <c r="H497" s="627"/>
    </row>
    <row r="498" spans="1:8" ht="15" customHeight="1" x14ac:dyDescent="0.25">
      <c r="A498" s="139">
        <v>2899</v>
      </c>
      <c r="B498" s="626" t="s">
        <v>3733</v>
      </c>
      <c r="C498" s="626"/>
      <c r="D498" s="626"/>
      <c r="E498" s="626"/>
      <c r="F498" s="626"/>
      <c r="G498" s="626"/>
      <c r="H498" s="627"/>
    </row>
    <row r="499" spans="1:8" ht="15" customHeight="1" x14ac:dyDescent="0.25">
      <c r="A499" s="139">
        <v>2910</v>
      </c>
      <c r="B499" s="626" t="s">
        <v>1338</v>
      </c>
      <c r="C499" s="626"/>
      <c r="D499" s="626"/>
      <c r="E499" s="626"/>
      <c r="F499" s="626"/>
      <c r="G499" s="626"/>
      <c r="H499" s="627"/>
    </row>
    <row r="500" spans="1:8" ht="15" customHeight="1" x14ac:dyDescent="0.25">
      <c r="A500" s="139">
        <v>2920</v>
      </c>
      <c r="B500" s="626" t="s">
        <v>3734</v>
      </c>
      <c r="C500" s="626"/>
      <c r="D500" s="626"/>
      <c r="E500" s="626"/>
      <c r="F500" s="626"/>
      <c r="G500" s="626"/>
      <c r="H500" s="627"/>
    </row>
    <row r="501" spans="1:8" ht="15" customHeight="1" x14ac:dyDescent="0.25">
      <c r="A501" s="139">
        <v>2931</v>
      </c>
      <c r="B501" s="626" t="s">
        <v>3735</v>
      </c>
      <c r="C501" s="626"/>
      <c r="D501" s="626"/>
      <c r="E501" s="626"/>
      <c r="F501" s="626"/>
      <c r="G501" s="626"/>
      <c r="H501" s="627"/>
    </row>
    <row r="502" spans="1:8" ht="15" customHeight="1" x14ac:dyDescent="0.25">
      <c r="A502" s="139">
        <v>2932</v>
      </c>
      <c r="B502" s="626" t="s">
        <v>3736</v>
      </c>
      <c r="C502" s="626"/>
      <c r="D502" s="626"/>
      <c r="E502" s="626"/>
      <c r="F502" s="626"/>
      <c r="G502" s="626"/>
      <c r="H502" s="627"/>
    </row>
    <row r="503" spans="1:8" ht="15" customHeight="1" x14ac:dyDescent="0.25">
      <c r="A503" s="139">
        <v>3011</v>
      </c>
      <c r="B503" s="626" t="s">
        <v>3737</v>
      </c>
      <c r="C503" s="626"/>
      <c r="D503" s="626"/>
      <c r="E503" s="626"/>
      <c r="F503" s="626"/>
      <c r="G503" s="626"/>
      <c r="H503" s="627"/>
    </row>
    <row r="504" spans="1:8" ht="15" customHeight="1" x14ac:dyDescent="0.25">
      <c r="A504" s="139">
        <v>3012</v>
      </c>
      <c r="B504" s="626" t="s">
        <v>3738</v>
      </c>
      <c r="C504" s="626"/>
      <c r="D504" s="626"/>
      <c r="E504" s="626"/>
      <c r="F504" s="626"/>
      <c r="G504" s="626"/>
      <c r="H504" s="627"/>
    </row>
    <row r="505" spans="1:8" ht="15" customHeight="1" x14ac:dyDescent="0.25">
      <c r="A505" s="139">
        <v>3020</v>
      </c>
      <c r="B505" s="626" t="s">
        <v>2821</v>
      </c>
      <c r="C505" s="626"/>
      <c r="D505" s="626"/>
      <c r="E505" s="626"/>
      <c r="F505" s="626"/>
      <c r="G505" s="626"/>
      <c r="H505" s="627"/>
    </row>
    <row r="506" spans="1:8" ht="15" customHeight="1" x14ac:dyDescent="0.25">
      <c r="A506" s="139">
        <v>3030</v>
      </c>
      <c r="B506" s="626" t="s">
        <v>2822</v>
      </c>
      <c r="C506" s="626"/>
      <c r="D506" s="626"/>
      <c r="E506" s="626"/>
      <c r="F506" s="626"/>
      <c r="G506" s="626"/>
      <c r="H506" s="627"/>
    </row>
    <row r="507" spans="1:8" ht="15" customHeight="1" x14ac:dyDescent="0.25">
      <c r="A507" s="139">
        <v>3040</v>
      </c>
      <c r="B507" s="626" t="s">
        <v>2823</v>
      </c>
      <c r="C507" s="626"/>
      <c r="D507" s="626"/>
      <c r="E507" s="626"/>
      <c r="F507" s="626"/>
      <c r="G507" s="626"/>
      <c r="H507" s="627"/>
    </row>
    <row r="508" spans="1:8" ht="15" customHeight="1" x14ac:dyDescent="0.25">
      <c r="A508" s="139">
        <v>3091</v>
      </c>
      <c r="B508" s="626" t="s">
        <v>410</v>
      </c>
      <c r="C508" s="626"/>
      <c r="D508" s="626"/>
      <c r="E508" s="626"/>
      <c r="F508" s="626"/>
      <c r="G508" s="626"/>
      <c r="H508" s="627"/>
    </row>
    <row r="509" spans="1:8" ht="15" customHeight="1" x14ac:dyDescent="0.25">
      <c r="A509" s="139">
        <v>3092</v>
      </c>
      <c r="B509" s="626" t="s">
        <v>411</v>
      </c>
      <c r="C509" s="626"/>
      <c r="D509" s="626"/>
      <c r="E509" s="626"/>
      <c r="F509" s="626"/>
      <c r="G509" s="626"/>
      <c r="H509" s="627"/>
    </row>
    <row r="510" spans="1:8" ht="15" customHeight="1" x14ac:dyDescent="0.25">
      <c r="A510" s="139">
        <v>3099</v>
      </c>
      <c r="B510" s="626" t="s">
        <v>412</v>
      </c>
      <c r="C510" s="626"/>
      <c r="D510" s="626"/>
      <c r="E510" s="626"/>
      <c r="F510" s="626"/>
      <c r="G510" s="626"/>
      <c r="H510" s="627"/>
    </row>
    <row r="511" spans="1:8" ht="15" customHeight="1" x14ac:dyDescent="0.25">
      <c r="A511" s="139">
        <v>3101</v>
      </c>
      <c r="B511" s="626" t="s">
        <v>413</v>
      </c>
      <c r="C511" s="626"/>
      <c r="D511" s="626"/>
      <c r="E511" s="626"/>
      <c r="F511" s="626"/>
      <c r="G511" s="626"/>
      <c r="H511" s="627"/>
    </row>
    <row r="512" spans="1:8" ht="15" customHeight="1" x14ac:dyDescent="0.25">
      <c r="A512" s="139">
        <v>3102</v>
      </c>
      <c r="B512" s="626" t="s">
        <v>414</v>
      </c>
      <c r="C512" s="626"/>
      <c r="D512" s="626"/>
      <c r="E512" s="626"/>
      <c r="F512" s="626"/>
      <c r="G512" s="626"/>
      <c r="H512" s="627"/>
    </row>
    <row r="513" spans="1:8" ht="15" customHeight="1" x14ac:dyDescent="0.25">
      <c r="A513" s="139">
        <v>3103</v>
      </c>
      <c r="B513" s="626" t="s">
        <v>2158</v>
      </c>
      <c r="C513" s="626"/>
      <c r="D513" s="626"/>
      <c r="E513" s="626"/>
      <c r="F513" s="626"/>
      <c r="G513" s="626"/>
      <c r="H513" s="627"/>
    </row>
    <row r="514" spans="1:8" ht="15" customHeight="1" x14ac:dyDescent="0.25">
      <c r="A514" s="139">
        <v>3109</v>
      </c>
      <c r="B514" s="626" t="s">
        <v>415</v>
      </c>
      <c r="C514" s="626"/>
      <c r="D514" s="626"/>
      <c r="E514" s="626"/>
      <c r="F514" s="626"/>
      <c r="G514" s="626"/>
      <c r="H514" s="627"/>
    </row>
    <row r="515" spans="1:8" ht="15" customHeight="1" x14ac:dyDescent="0.25">
      <c r="A515" s="139">
        <v>3211</v>
      </c>
      <c r="B515" s="626" t="s">
        <v>2159</v>
      </c>
      <c r="C515" s="626"/>
      <c r="D515" s="626"/>
      <c r="E515" s="626"/>
      <c r="F515" s="626"/>
      <c r="G515" s="626"/>
      <c r="H515" s="627"/>
    </row>
    <row r="516" spans="1:8" ht="15" customHeight="1" x14ac:dyDescent="0.25">
      <c r="A516" s="139">
        <v>3212</v>
      </c>
      <c r="B516" s="626" t="s">
        <v>416</v>
      </c>
      <c r="C516" s="626"/>
      <c r="D516" s="626"/>
      <c r="E516" s="626"/>
      <c r="F516" s="626"/>
      <c r="G516" s="626"/>
      <c r="H516" s="627"/>
    </row>
    <row r="517" spans="1:8" ht="15" customHeight="1" x14ac:dyDescent="0.25">
      <c r="A517" s="139">
        <v>3213</v>
      </c>
      <c r="B517" s="626" t="s">
        <v>417</v>
      </c>
      <c r="C517" s="626"/>
      <c r="D517" s="626"/>
      <c r="E517" s="626"/>
      <c r="F517" s="626"/>
      <c r="G517" s="626"/>
      <c r="H517" s="627"/>
    </row>
    <row r="518" spans="1:8" ht="15" customHeight="1" x14ac:dyDescent="0.25">
      <c r="A518" s="139">
        <v>3220</v>
      </c>
      <c r="B518" s="626" t="s">
        <v>3295</v>
      </c>
      <c r="C518" s="626"/>
      <c r="D518" s="626"/>
      <c r="E518" s="626"/>
      <c r="F518" s="626"/>
      <c r="G518" s="626"/>
      <c r="H518" s="627"/>
    </row>
    <row r="519" spans="1:8" ht="15" customHeight="1" x14ac:dyDescent="0.25">
      <c r="A519" s="139">
        <v>3230</v>
      </c>
      <c r="B519" s="626" t="s">
        <v>3296</v>
      </c>
      <c r="C519" s="626"/>
      <c r="D519" s="626"/>
      <c r="E519" s="626"/>
      <c r="F519" s="626"/>
      <c r="G519" s="626"/>
      <c r="H519" s="627"/>
    </row>
    <row r="520" spans="1:8" ht="15" customHeight="1" x14ac:dyDescent="0.25">
      <c r="A520" s="139">
        <v>3240</v>
      </c>
      <c r="B520" s="626" t="s">
        <v>3297</v>
      </c>
      <c r="C520" s="626"/>
      <c r="D520" s="626"/>
      <c r="E520" s="626"/>
      <c r="F520" s="626"/>
      <c r="G520" s="626"/>
      <c r="H520" s="627"/>
    </row>
    <row r="521" spans="1:8" ht="15" customHeight="1" x14ac:dyDescent="0.25">
      <c r="A521" s="139">
        <v>3250</v>
      </c>
      <c r="B521" s="626" t="s">
        <v>418</v>
      </c>
      <c r="C521" s="626"/>
      <c r="D521" s="626"/>
      <c r="E521" s="626"/>
      <c r="F521" s="626"/>
      <c r="G521" s="626"/>
      <c r="H521" s="627"/>
    </row>
    <row r="522" spans="1:8" ht="15" customHeight="1" x14ac:dyDescent="0.25">
      <c r="A522" s="139">
        <v>3291</v>
      </c>
      <c r="B522" s="626" t="s">
        <v>419</v>
      </c>
      <c r="C522" s="626"/>
      <c r="D522" s="626"/>
      <c r="E522" s="626"/>
      <c r="F522" s="626"/>
      <c r="G522" s="626"/>
      <c r="H522" s="627"/>
    </row>
    <row r="523" spans="1:8" ht="15" customHeight="1" x14ac:dyDescent="0.25">
      <c r="A523" s="139">
        <v>3299</v>
      </c>
      <c r="B523" s="626" t="s">
        <v>420</v>
      </c>
      <c r="C523" s="626"/>
      <c r="D523" s="626"/>
      <c r="E523" s="626"/>
      <c r="F523" s="626"/>
      <c r="G523" s="626"/>
      <c r="H523" s="627"/>
    </row>
    <row r="524" spans="1:8" ht="15" customHeight="1" x14ac:dyDescent="0.25">
      <c r="A524" s="139">
        <v>3311</v>
      </c>
      <c r="B524" s="626" t="s">
        <v>421</v>
      </c>
      <c r="C524" s="626"/>
      <c r="D524" s="626"/>
      <c r="E524" s="626"/>
      <c r="F524" s="626"/>
      <c r="G524" s="626"/>
      <c r="H524" s="627"/>
    </row>
    <row r="525" spans="1:8" ht="15" customHeight="1" x14ac:dyDescent="0.25">
      <c r="A525" s="139">
        <v>3312</v>
      </c>
      <c r="B525" s="626" t="s">
        <v>422</v>
      </c>
      <c r="C525" s="626"/>
      <c r="D525" s="626"/>
      <c r="E525" s="626"/>
      <c r="F525" s="626"/>
      <c r="G525" s="626"/>
      <c r="H525" s="627"/>
    </row>
    <row r="526" spans="1:8" ht="15" customHeight="1" x14ac:dyDescent="0.25">
      <c r="A526" s="139">
        <v>3313</v>
      </c>
      <c r="B526" s="626" t="s">
        <v>423</v>
      </c>
      <c r="C526" s="626"/>
      <c r="D526" s="626"/>
      <c r="E526" s="626"/>
      <c r="F526" s="626"/>
      <c r="G526" s="626"/>
      <c r="H526" s="627"/>
    </row>
    <row r="527" spans="1:8" ht="15" customHeight="1" x14ac:dyDescent="0.25">
      <c r="A527" s="139">
        <v>3314</v>
      </c>
      <c r="B527" s="626" t="s">
        <v>424</v>
      </c>
      <c r="C527" s="626"/>
      <c r="D527" s="626"/>
      <c r="E527" s="626"/>
      <c r="F527" s="626"/>
      <c r="G527" s="626"/>
      <c r="H527" s="627"/>
    </row>
    <row r="528" spans="1:8" ht="15" customHeight="1" x14ac:dyDescent="0.25">
      <c r="A528" s="139">
        <v>3315</v>
      </c>
      <c r="B528" s="626" t="s">
        <v>425</v>
      </c>
      <c r="C528" s="626"/>
      <c r="D528" s="626"/>
      <c r="E528" s="626"/>
      <c r="F528" s="626"/>
      <c r="G528" s="626"/>
      <c r="H528" s="627"/>
    </row>
    <row r="529" spans="1:8" ht="15" customHeight="1" x14ac:dyDescent="0.25">
      <c r="A529" s="139">
        <v>3316</v>
      </c>
      <c r="B529" s="626" t="s">
        <v>426</v>
      </c>
      <c r="C529" s="626"/>
      <c r="D529" s="626"/>
      <c r="E529" s="626"/>
      <c r="F529" s="626"/>
      <c r="G529" s="626"/>
      <c r="H529" s="627"/>
    </row>
    <row r="530" spans="1:8" ht="15" customHeight="1" x14ac:dyDescent="0.25">
      <c r="A530" s="139">
        <v>3317</v>
      </c>
      <c r="B530" s="626" t="s">
        <v>427</v>
      </c>
      <c r="C530" s="626"/>
      <c r="D530" s="626"/>
      <c r="E530" s="626"/>
      <c r="F530" s="626"/>
      <c r="G530" s="626"/>
      <c r="H530" s="627"/>
    </row>
    <row r="531" spans="1:8" ht="15" customHeight="1" x14ac:dyDescent="0.25">
      <c r="A531" s="139">
        <v>3319</v>
      </c>
      <c r="B531" s="626" t="s">
        <v>428</v>
      </c>
      <c r="C531" s="626"/>
      <c r="D531" s="626"/>
      <c r="E531" s="626"/>
      <c r="F531" s="626"/>
      <c r="G531" s="626"/>
      <c r="H531" s="627"/>
    </row>
    <row r="532" spans="1:8" ht="15" customHeight="1" x14ac:dyDescent="0.25">
      <c r="A532" s="139">
        <v>3320</v>
      </c>
      <c r="B532" s="626" t="s">
        <v>429</v>
      </c>
      <c r="C532" s="626"/>
      <c r="D532" s="626"/>
      <c r="E532" s="626"/>
      <c r="F532" s="626"/>
      <c r="G532" s="626"/>
      <c r="H532" s="627"/>
    </row>
    <row r="533" spans="1:8" ht="15" customHeight="1" x14ac:dyDescent="0.25">
      <c r="A533" s="139">
        <v>3511</v>
      </c>
      <c r="B533" s="626" t="s">
        <v>3298</v>
      </c>
      <c r="C533" s="626"/>
      <c r="D533" s="626"/>
      <c r="E533" s="626"/>
      <c r="F533" s="626"/>
      <c r="G533" s="626"/>
      <c r="H533" s="627"/>
    </row>
    <row r="534" spans="1:8" ht="15" customHeight="1" x14ac:dyDescent="0.25">
      <c r="A534" s="139">
        <v>3512</v>
      </c>
      <c r="B534" s="626" t="s">
        <v>3299</v>
      </c>
      <c r="C534" s="626"/>
      <c r="D534" s="626"/>
      <c r="E534" s="626"/>
      <c r="F534" s="626"/>
      <c r="G534" s="626"/>
      <c r="H534" s="627"/>
    </row>
    <row r="535" spans="1:8" ht="15" customHeight="1" x14ac:dyDescent="0.25">
      <c r="A535" s="139">
        <v>3513</v>
      </c>
      <c r="B535" s="626" t="s">
        <v>430</v>
      </c>
      <c r="C535" s="626"/>
      <c r="D535" s="626"/>
      <c r="E535" s="626"/>
      <c r="F535" s="626"/>
      <c r="G535" s="626"/>
      <c r="H535" s="627"/>
    </row>
    <row r="536" spans="1:8" ht="15" customHeight="1" x14ac:dyDescent="0.25">
      <c r="A536" s="139">
        <v>3514</v>
      </c>
      <c r="B536" s="626" t="s">
        <v>431</v>
      </c>
      <c r="C536" s="626"/>
      <c r="D536" s="626"/>
      <c r="E536" s="626"/>
      <c r="F536" s="626"/>
      <c r="G536" s="626"/>
      <c r="H536" s="627"/>
    </row>
    <row r="537" spans="1:8" ht="15" customHeight="1" x14ac:dyDescent="0.25">
      <c r="A537" s="139">
        <v>3521</v>
      </c>
      <c r="B537" s="626" t="s">
        <v>3300</v>
      </c>
      <c r="C537" s="626"/>
      <c r="D537" s="626"/>
      <c r="E537" s="626"/>
      <c r="F537" s="626"/>
      <c r="G537" s="626"/>
      <c r="H537" s="627"/>
    </row>
    <row r="538" spans="1:8" ht="15" customHeight="1" x14ac:dyDescent="0.25">
      <c r="A538" s="139">
        <v>3522</v>
      </c>
      <c r="B538" s="626" t="s">
        <v>432</v>
      </c>
      <c r="C538" s="626"/>
      <c r="D538" s="626"/>
      <c r="E538" s="626"/>
      <c r="F538" s="626"/>
      <c r="G538" s="626"/>
      <c r="H538" s="627"/>
    </row>
    <row r="539" spans="1:8" ht="15" customHeight="1" x14ac:dyDescent="0.25">
      <c r="A539" s="139">
        <v>3523</v>
      </c>
      <c r="B539" s="626" t="s">
        <v>433</v>
      </c>
      <c r="C539" s="626"/>
      <c r="D539" s="626"/>
      <c r="E539" s="626"/>
      <c r="F539" s="626"/>
      <c r="G539" s="626"/>
      <c r="H539" s="627"/>
    </row>
    <row r="540" spans="1:8" ht="15" customHeight="1" x14ac:dyDescent="0.25">
      <c r="A540" s="139">
        <v>3530</v>
      </c>
      <c r="B540" s="626" t="s">
        <v>434</v>
      </c>
      <c r="C540" s="626"/>
      <c r="D540" s="626"/>
      <c r="E540" s="626"/>
      <c r="F540" s="626"/>
      <c r="G540" s="626"/>
      <c r="H540" s="627"/>
    </row>
    <row r="541" spans="1:8" ht="15" customHeight="1" x14ac:dyDescent="0.25">
      <c r="A541" s="139">
        <v>3600</v>
      </c>
      <c r="B541" s="626" t="s">
        <v>435</v>
      </c>
      <c r="C541" s="626"/>
      <c r="D541" s="626"/>
      <c r="E541" s="626"/>
      <c r="F541" s="626"/>
      <c r="G541" s="626"/>
      <c r="H541" s="627"/>
    </row>
    <row r="542" spans="1:8" ht="15" customHeight="1" x14ac:dyDescent="0.25">
      <c r="A542" s="139">
        <v>3700</v>
      </c>
      <c r="B542" s="626" t="s">
        <v>436</v>
      </c>
      <c r="C542" s="626"/>
      <c r="D542" s="626"/>
      <c r="E542" s="626"/>
      <c r="F542" s="626"/>
      <c r="G542" s="626"/>
      <c r="H542" s="627"/>
    </row>
    <row r="543" spans="1:8" ht="15" customHeight="1" x14ac:dyDescent="0.25">
      <c r="A543" s="139">
        <v>3811</v>
      </c>
      <c r="B543" s="626" t="s">
        <v>437</v>
      </c>
      <c r="C543" s="626"/>
      <c r="D543" s="626"/>
      <c r="E543" s="626"/>
      <c r="F543" s="626"/>
      <c r="G543" s="626"/>
      <c r="H543" s="627"/>
    </row>
    <row r="544" spans="1:8" ht="15" customHeight="1" x14ac:dyDescent="0.25">
      <c r="A544" s="139">
        <v>3812</v>
      </c>
      <c r="B544" s="626" t="s">
        <v>438</v>
      </c>
      <c r="C544" s="626"/>
      <c r="D544" s="626"/>
      <c r="E544" s="626"/>
      <c r="F544" s="626"/>
      <c r="G544" s="626"/>
      <c r="H544" s="627"/>
    </row>
    <row r="545" spans="1:8" ht="15" customHeight="1" x14ac:dyDescent="0.25">
      <c r="A545" s="139">
        <v>3821</v>
      </c>
      <c r="B545" s="626" t="s">
        <v>439</v>
      </c>
      <c r="C545" s="626"/>
      <c r="D545" s="626"/>
      <c r="E545" s="626"/>
      <c r="F545" s="626"/>
      <c r="G545" s="626"/>
      <c r="H545" s="627"/>
    </row>
    <row r="546" spans="1:8" ht="15" customHeight="1" x14ac:dyDescent="0.25">
      <c r="A546" s="139">
        <v>3822</v>
      </c>
      <c r="B546" s="626" t="s">
        <v>440</v>
      </c>
      <c r="C546" s="626"/>
      <c r="D546" s="626"/>
      <c r="E546" s="626"/>
      <c r="F546" s="626"/>
      <c r="G546" s="626"/>
      <c r="H546" s="627"/>
    </row>
    <row r="547" spans="1:8" ht="15" customHeight="1" x14ac:dyDescent="0.25">
      <c r="A547" s="139">
        <v>3831</v>
      </c>
      <c r="B547" s="626" t="s">
        <v>2496</v>
      </c>
      <c r="C547" s="626"/>
      <c r="D547" s="626"/>
      <c r="E547" s="626"/>
      <c r="F547" s="626"/>
      <c r="G547" s="626"/>
      <c r="H547" s="627"/>
    </row>
    <row r="548" spans="1:8" ht="15" customHeight="1" x14ac:dyDescent="0.25">
      <c r="A548" s="139">
        <v>3832</v>
      </c>
      <c r="B548" s="626" t="s">
        <v>2497</v>
      </c>
      <c r="C548" s="626"/>
      <c r="D548" s="626"/>
      <c r="E548" s="626"/>
      <c r="F548" s="626"/>
      <c r="G548" s="626"/>
      <c r="H548" s="627"/>
    </row>
    <row r="549" spans="1:8" ht="15" customHeight="1" x14ac:dyDescent="0.25">
      <c r="A549" s="139">
        <v>3900</v>
      </c>
      <c r="B549" s="626" t="s">
        <v>2498</v>
      </c>
      <c r="C549" s="626"/>
      <c r="D549" s="626"/>
      <c r="E549" s="626"/>
      <c r="F549" s="626"/>
      <c r="G549" s="626"/>
      <c r="H549" s="627"/>
    </row>
    <row r="550" spans="1:8" ht="15" customHeight="1" x14ac:dyDescent="0.25">
      <c r="A550" s="139">
        <v>4110</v>
      </c>
      <c r="B550" s="626" t="s">
        <v>2499</v>
      </c>
      <c r="C550" s="626"/>
      <c r="D550" s="626"/>
      <c r="E550" s="626"/>
      <c r="F550" s="626"/>
      <c r="G550" s="626"/>
      <c r="H550" s="627"/>
    </row>
    <row r="551" spans="1:8" ht="15" customHeight="1" x14ac:dyDescent="0.25">
      <c r="A551" s="139">
        <v>4120</v>
      </c>
      <c r="B551" s="626" t="s">
        <v>2500</v>
      </c>
      <c r="C551" s="626"/>
      <c r="D551" s="626"/>
      <c r="E551" s="626"/>
      <c r="F551" s="626"/>
      <c r="G551" s="626"/>
      <c r="H551" s="627"/>
    </row>
    <row r="552" spans="1:8" ht="15" customHeight="1" x14ac:dyDescent="0.25">
      <c r="A552" s="139">
        <v>4211</v>
      </c>
      <c r="B552" s="626" t="s">
        <v>2501</v>
      </c>
      <c r="C552" s="626"/>
      <c r="D552" s="626"/>
      <c r="E552" s="626"/>
      <c r="F552" s="626"/>
      <c r="G552" s="626"/>
      <c r="H552" s="627"/>
    </row>
    <row r="553" spans="1:8" ht="15" customHeight="1" x14ac:dyDescent="0.25">
      <c r="A553" s="139">
        <v>4212</v>
      </c>
      <c r="B553" s="626" t="s">
        <v>2502</v>
      </c>
      <c r="C553" s="626"/>
      <c r="D553" s="626"/>
      <c r="E553" s="626"/>
      <c r="F553" s="626"/>
      <c r="G553" s="626"/>
      <c r="H553" s="627"/>
    </row>
    <row r="554" spans="1:8" ht="15" customHeight="1" x14ac:dyDescent="0.25">
      <c r="A554" s="139">
        <v>4213</v>
      </c>
      <c r="B554" s="626" t="s">
        <v>2503</v>
      </c>
      <c r="C554" s="626"/>
      <c r="D554" s="626"/>
      <c r="E554" s="626"/>
      <c r="F554" s="626"/>
      <c r="G554" s="626"/>
      <c r="H554" s="627"/>
    </row>
    <row r="555" spans="1:8" ht="15" customHeight="1" x14ac:dyDescent="0.25">
      <c r="A555" s="139">
        <v>4221</v>
      </c>
      <c r="B555" s="626" t="s">
        <v>2504</v>
      </c>
      <c r="C555" s="626"/>
      <c r="D555" s="626"/>
      <c r="E555" s="626"/>
      <c r="F555" s="626"/>
      <c r="G555" s="626"/>
      <c r="H555" s="627"/>
    </row>
    <row r="556" spans="1:8" ht="15" customHeight="1" x14ac:dyDescent="0.25">
      <c r="A556" s="139">
        <v>4222</v>
      </c>
      <c r="B556" s="626" t="s">
        <v>4221</v>
      </c>
      <c r="C556" s="626"/>
      <c r="D556" s="626"/>
      <c r="E556" s="626"/>
      <c r="F556" s="626"/>
      <c r="G556" s="626"/>
      <c r="H556" s="627"/>
    </row>
    <row r="557" spans="1:8" ht="15" customHeight="1" x14ac:dyDescent="0.25">
      <c r="A557" s="139">
        <v>4291</v>
      </c>
      <c r="B557" s="626" t="s">
        <v>4222</v>
      </c>
      <c r="C557" s="626"/>
      <c r="D557" s="626"/>
      <c r="E557" s="626"/>
      <c r="F557" s="626"/>
      <c r="G557" s="626"/>
      <c r="H557" s="627"/>
    </row>
    <row r="558" spans="1:8" ht="15" customHeight="1" x14ac:dyDescent="0.25">
      <c r="A558" s="139">
        <v>4299</v>
      </c>
      <c r="B558" s="626" t="s">
        <v>4223</v>
      </c>
      <c r="C558" s="626"/>
      <c r="D558" s="626"/>
      <c r="E558" s="626"/>
      <c r="F558" s="626"/>
      <c r="G558" s="626"/>
      <c r="H558" s="627"/>
    </row>
    <row r="559" spans="1:8" ht="15" customHeight="1" x14ac:dyDescent="0.25">
      <c r="A559" s="139">
        <v>4311</v>
      </c>
      <c r="B559" s="626" t="s">
        <v>4224</v>
      </c>
      <c r="C559" s="626"/>
      <c r="D559" s="626"/>
      <c r="E559" s="626"/>
      <c r="F559" s="626"/>
      <c r="G559" s="626"/>
      <c r="H559" s="627"/>
    </row>
    <row r="560" spans="1:8" ht="15" customHeight="1" x14ac:dyDescent="0.25">
      <c r="A560" s="139">
        <v>4312</v>
      </c>
      <c r="B560" s="626" t="s">
        <v>4225</v>
      </c>
      <c r="C560" s="626"/>
      <c r="D560" s="626"/>
      <c r="E560" s="626"/>
      <c r="F560" s="626"/>
      <c r="G560" s="626"/>
      <c r="H560" s="627"/>
    </row>
    <row r="561" spans="1:8" ht="15" customHeight="1" x14ac:dyDescent="0.25">
      <c r="A561" s="139">
        <v>4313</v>
      </c>
      <c r="B561" s="626" t="s">
        <v>4226</v>
      </c>
      <c r="C561" s="626"/>
      <c r="D561" s="626"/>
      <c r="E561" s="626"/>
      <c r="F561" s="626"/>
      <c r="G561" s="626"/>
      <c r="H561" s="627"/>
    </row>
    <row r="562" spans="1:8" ht="15" customHeight="1" x14ac:dyDescent="0.25">
      <c r="A562" s="139">
        <v>4321</v>
      </c>
      <c r="B562" s="626" t="s">
        <v>3373</v>
      </c>
      <c r="C562" s="626"/>
      <c r="D562" s="626"/>
      <c r="E562" s="626"/>
      <c r="F562" s="626"/>
      <c r="G562" s="626"/>
      <c r="H562" s="627"/>
    </row>
    <row r="563" spans="1:8" ht="15" customHeight="1" x14ac:dyDescent="0.25">
      <c r="A563" s="139">
        <v>4322</v>
      </c>
      <c r="B563" s="626" t="s">
        <v>4164</v>
      </c>
      <c r="C563" s="626"/>
      <c r="D563" s="626"/>
      <c r="E563" s="626"/>
      <c r="F563" s="626"/>
      <c r="G563" s="626"/>
      <c r="H563" s="627"/>
    </row>
    <row r="564" spans="1:8" ht="15" customHeight="1" x14ac:dyDescent="0.25">
      <c r="A564" s="139">
        <v>4329</v>
      </c>
      <c r="B564" s="626" t="s">
        <v>4165</v>
      </c>
      <c r="C564" s="626"/>
      <c r="D564" s="626"/>
      <c r="E564" s="626"/>
      <c r="F564" s="626"/>
      <c r="G564" s="626"/>
      <c r="H564" s="627"/>
    </row>
    <row r="565" spans="1:8" ht="15" customHeight="1" x14ac:dyDescent="0.25">
      <c r="A565" s="139">
        <v>4331</v>
      </c>
      <c r="B565" s="626" t="s">
        <v>4166</v>
      </c>
      <c r="C565" s="626"/>
      <c r="D565" s="626"/>
      <c r="E565" s="626"/>
      <c r="F565" s="626"/>
      <c r="G565" s="626"/>
      <c r="H565" s="627"/>
    </row>
    <row r="566" spans="1:8" ht="15" customHeight="1" x14ac:dyDescent="0.25">
      <c r="A566" s="139">
        <v>4332</v>
      </c>
      <c r="B566" s="626" t="s">
        <v>1331</v>
      </c>
      <c r="C566" s="626"/>
      <c r="D566" s="626"/>
      <c r="E566" s="626"/>
      <c r="F566" s="626"/>
      <c r="G566" s="626"/>
      <c r="H566" s="627"/>
    </row>
    <row r="567" spans="1:8" ht="15" customHeight="1" x14ac:dyDescent="0.25">
      <c r="A567" s="139">
        <v>4333</v>
      </c>
      <c r="B567" s="626" t="s">
        <v>1332</v>
      </c>
      <c r="C567" s="626"/>
      <c r="D567" s="626"/>
      <c r="E567" s="626"/>
      <c r="F567" s="626"/>
      <c r="G567" s="626"/>
      <c r="H567" s="627"/>
    </row>
    <row r="568" spans="1:8" ht="15" customHeight="1" x14ac:dyDescent="0.25">
      <c r="A568" s="139">
        <v>4334</v>
      </c>
      <c r="B568" s="626" t="s">
        <v>1333</v>
      </c>
      <c r="C568" s="626"/>
      <c r="D568" s="626"/>
      <c r="E568" s="626"/>
      <c r="F568" s="626"/>
      <c r="G568" s="626"/>
      <c r="H568" s="627"/>
    </row>
    <row r="569" spans="1:8" ht="15" customHeight="1" x14ac:dyDescent="0.25">
      <c r="A569" s="139">
        <v>4339</v>
      </c>
      <c r="B569" s="626" t="s">
        <v>4167</v>
      </c>
      <c r="C569" s="626"/>
      <c r="D569" s="626"/>
      <c r="E569" s="626"/>
      <c r="F569" s="626"/>
      <c r="G569" s="626"/>
      <c r="H569" s="627"/>
    </row>
    <row r="570" spans="1:8" ht="15" customHeight="1" x14ac:dyDescent="0.25">
      <c r="A570" s="139">
        <v>4391</v>
      </c>
      <c r="B570" s="626" t="s">
        <v>2636</v>
      </c>
      <c r="C570" s="626"/>
      <c r="D570" s="626"/>
      <c r="E570" s="626"/>
      <c r="F570" s="626"/>
      <c r="G570" s="626"/>
      <c r="H570" s="627"/>
    </row>
    <row r="571" spans="1:8" ht="15" customHeight="1" x14ac:dyDescent="0.25">
      <c r="A571" s="139">
        <v>4399</v>
      </c>
      <c r="B571" s="626" t="s">
        <v>2637</v>
      </c>
      <c r="C571" s="626"/>
      <c r="D571" s="626"/>
      <c r="E571" s="626"/>
      <c r="F571" s="626"/>
      <c r="G571" s="626"/>
      <c r="H571" s="627"/>
    </row>
    <row r="572" spans="1:8" ht="15" customHeight="1" x14ac:dyDescent="0.25">
      <c r="A572" s="139">
        <v>4511</v>
      </c>
      <c r="B572" s="626" t="s">
        <v>2638</v>
      </c>
      <c r="C572" s="626"/>
      <c r="D572" s="626"/>
      <c r="E572" s="626"/>
      <c r="F572" s="626"/>
      <c r="G572" s="626"/>
      <c r="H572" s="627"/>
    </row>
    <row r="573" spans="1:8" ht="15" customHeight="1" x14ac:dyDescent="0.25">
      <c r="A573" s="139">
        <v>4519</v>
      </c>
      <c r="B573" s="626" t="s">
        <v>2639</v>
      </c>
      <c r="C573" s="626"/>
      <c r="D573" s="626"/>
      <c r="E573" s="626"/>
      <c r="F573" s="626"/>
      <c r="G573" s="626"/>
      <c r="H573" s="627"/>
    </row>
    <row r="574" spans="1:8" ht="15" customHeight="1" x14ac:dyDescent="0.25">
      <c r="A574" s="139">
        <v>4520</v>
      </c>
      <c r="B574" s="626" t="s">
        <v>1334</v>
      </c>
      <c r="C574" s="626"/>
      <c r="D574" s="626"/>
      <c r="E574" s="626"/>
      <c r="F574" s="626"/>
      <c r="G574" s="626"/>
      <c r="H574" s="627"/>
    </row>
    <row r="575" spans="1:8" ht="15" customHeight="1" x14ac:dyDescent="0.25">
      <c r="A575" s="139">
        <v>4531</v>
      </c>
      <c r="B575" s="626" t="s">
        <v>2640</v>
      </c>
      <c r="C575" s="626"/>
      <c r="D575" s="626"/>
      <c r="E575" s="626"/>
      <c r="F575" s="626"/>
      <c r="G575" s="626"/>
      <c r="H575" s="627"/>
    </row>
    <row r="576" spans="1:8" ht="15" customHeight="1" x14ac:dyDescent="0.25">
      <c r="A576" s="139">
        <v>4532</v>
      </c>
      <c r="B576" s="626" t="s">
        <v>200</v>
      </c>
      <c r="C576" s="626"/>
      <c r="D576" s="626"/>
      <c r="E576" s="626"/>
      <c r="F576" s="626"/>
      <c r="G576" s="626"/>
      <c r="H576" s="627"/>
    </row>
    <row r="577" spans="1:8" ht="15" customHeight="1" x14ac:dyDescent="0.25">
      <c r="A577" s="139">
        <v>4540</v>
      </c>
      <c r="B577" s="626" t="s">
        <v>201</v>
      </c>
      <c r="C577" s="626"/>
      <c r="D577" s="626"/>
      <c r="E577" s="626"/>
      <c r="F577" s="626"/>
      <c r="G577" s="626"/>
      <c r="H577" s="627"/>
    </row>
    <row r="578" spans="1:8" ht="15" customHeight="1" x14ac:dyDescent="0.25">
      <c r="A578" s="139">
        <v>4611</v>
      </c>
      <c r="B578" s="626" t="s">
        <v>202</v>
      </c>
      <c r="C578" s="626"/>
      <c r="D578" s="626"/>
      <c r="E578" s="626"/>
      <c r="F578" s="626"/>
      <c r="G578" s="626"/>
      <c r="H578" s="627"/>
    </row>
    <row r="579" spans="1:8" ht="15" customHeight="1" x14ac:dyDescent="0.25">
      <c r="A579" s="139">
        <v>4612</v>
      </c>
      <c r="B579" s="626" t="s">
        <v>2166</v>
      </c>
      <c r="C579" s="626"/>
      <c r="D579" s="626"/>
      <c r="E579" s="626"/>
      <c r="F579" s="626"/>
      <c r="G579" s="626"/>
      <c r="H579" s="627"/>
    </row>
    <row r="580" spans="1:8" ht="15" customHeight="1" x14ac:dyDescent="0.25">
      <c r="A580" s="139">
        <v>4613</v>
      </c>
      <c r="B580" s="626" t="s">
        <v>2167</v>
      </c>
      <c r="C580" s="626"/>
      <c r="D580" s="626"/>
      <c r="E580" s="626"/>
      <c r="F580" s="626"/>
      <c r="G580" s="626"/>
      <c r="H580" s="627"/>
    </row>
    <row r="581" spans="1:8" ht="15" customHeight="1" x14ac:dyDescent="0.25">
      <c r="A581" s="139">
        <v>4614</v>
      </c>
      <c r="B581" s="626" t="s">
        <v>2168</v>
      </c>
      <c r="C581" s="626"/>
      <c r="D581" s="626"/>
      <c r="E581" s="626"/>
      <c r="F581" s="626"/>
      <c r="G581" s="626"/>
      <c r="H581" s="627"/>
    </row>
    <row r="582" spans="1:8" ht="15" customHeight="1" x14ac:dyDescent="0.25">
      <c r="A582" s="139">
        <v>4615</v>
      </c>
      <c r="B582" s="626" t="s">
        <v>2169</v>
      </c>
      <c r="C582" s="626"/>
      <c r="D582" s="626"/>
      <c r="E582" s="626"/>
      <c r="F582" s="626"/>
      <c r="G582" s="626"/>
      <c r="H582" s="627"/>
    </row>
    <row r="583" spans="1:8" ht="15" customHeight="1" x14ac:dyDescent="0.25">
      <c r="A583" s="139">
        <v>4616</v>
      </c>
      <c r="B583" s="626" t="s">
        <v>2170</v>
      </c>
      <c r="C583" s="626"/>
      <c r="D583" s="626"/>
      <c r="E583" s="626"/>
      <c r="F583" s="626"/>
      <c r="G583" s="626"/>
      <c r="H583" s="627"/>
    </row>
    <row r="584" spans="1:8" ht="15" customHeight="1" x14ac:dyDescent="0.25">
      <c r="A584" s="139">
        <v>4617</v>
      </c>
      <c r="B584" s="626" t="s">
        <v>2171</v>
      </c>
      <c r="C584" s="626"/>
      <c r="D584" s="626"/>
      <c r="E584" s="626"/>
      <c r="F584" s="626"/>
      <c r="G584" s="626"/>
      <c r="H584" s="627"/>
    </row>
    <row r="585" spans="1:8" ht="15" customHeight="1" x14ac:dyDescent="0.25">
      <c r="A585" s="139">
        <v>4618</v>
      </c>
      <c r="B585" s="626" t="s">
        <v>2172</v>
      </c>
      <c r="C585" s="626"/>
      <c r="D585" s="626"/>
      <c r="E585" s="626"/>
      <c r="F585" s="626"/>
      <c r="G585" s="626"/>
      <c r="H585" s="627"/>
    </row>
    <row r="586" spans="1:8" ht="15" customHeight="1" x14ac:dyDescent="0.25">
      <c r="A586" s="139">
        <v>4619</v>
      </c>
      <c r="B586" s="626" t="s">
        <v>2173</v>
      </c>
      <c r="C586" s="626"/>
      <c r="D586" s="626"/>
      <c r="E586" s="626"/>
      <c r="F586" s="626"/>
      <c r="G586" s="626"/>
      <c r="H586" s="627"/>
    </row>
    <row r="587" spans="1:8" ht="15" customHeight="1" x14ac:dyDescent="0.25">
      <c r="A587" s="139">
        <v>4621</v>
      </c>
      <c r="B587" s="626" t="s">
        <v>2174</v>
      </c>
      <c r="C587" s="626"/>
      <c r="D587" s="626"/>
      <c r="E587" s="626"/>
      <c r="F587" s="626"/>
      <c r="G587" s="626"/>
      <c r="H587" s="627"/>
    </row>
    <row r="588" spans="1:8" ht="15" customHeight="1" x14ac:dyDescent="0.25">
      <c r="A588" s="139">
        <v>4622</v>
      </c>
      <c r="B588" s="626" t="s">
        <v>4066</v>
      </c>
      <c r="C588" s="626"/>
      <c r="D588" s="626"/>
      <c r="E588" s="626"/>
      <c r="F588" s="626"/>
      <c r="G588" s="626"/>
      <c r="H588" s="627"/>
    </row>
    <row r="589" spans="1:8" ht="15" customHeight="1" x14ac:dyDescent="0.25">
      <c r="A589" s="139">
        <v>4623</v>
      </c>
      <c r="B589" s="626" t="s">
        <v>4067</v>
      </c>
      <c r="C589" s="626"/>
      <c r="D589" s="626"/>
      <c r="E589" s="626"/>
      <c r="F589" s="626"/>
      <c r="G589" s="626"/>
      <c r="H589" s="627"/>
    </row>
    <row r="590" spans="1:8" ht="15" customHeight="1" x14ac:dyDescent="0.25">
      <c r="A590" s="139">
        <v>4624</v>
      </c>
      <c r="B590" s="626" t="s">
        <v>2175</v>
      </c>
      <c r="C590" s="626"/>
      <c r="D590" s="626"/>
      <c r="E590" s="626"/>
      <c r="F590" s="626"/>
      <c r="G590" s="626"/>
      <c r="H590" s="627"/>
    </row>
    <row r="591" spans="1:8" ht="15" customHeight="1" x14ac:dyDescent="0.25">
      <c r="A591" s="139">
        <v>4631</v>
      </c>
      <c r="B591" s="626" t="s">
        <v>2176</v>
      </c>
      <c r="C591" s="626"/>
      <c r="D591" s="626"/>
      <c r="E591" s="626"/>
      <c r="F591" s="626"/>
      <c r="G591" s="626"/>
      <c r="H591" s="627"/>
    </row>
    <row r="592" spans="1:8" ht="15" customHeight="1" x14ac:dyDescent="0.25">
      <c r="A592" s="139">
        <v>4632</v>
      </c>
      <c r="B592" s="626" t="s">
        <v>2177</v>
      </c>
      <c r="C592" s="626"/>
      <c r="D592" s="626"/>
      <c r="E592" s="626"/>
      <c r="F592" s="626"/>
      <c r="G592" s="626"/>
      <c r="H592" s="627"/>
    </row>
    <row r="593" spans="1:8" ht="15" customHeight="1" x14ac:dyDescent="0.25">
      <c r="A593" s="139">
        <v>4633</v>
      </c>
      <c r="B593" s="626" t="s">
        <v>2178</v>
      </c>
      <c r="C593" s="626"/>
      <c r="D593" s="626"/>
      <c r="E593" s="626"/>
      <c r="F593" s="626"/>
      <c r="G593" s="626"/>
      <c r="H593" s="627"/>
    </row>
    <row r="594" spans="1:8" ht="15" customHeight="1" x14ac:dyDescent="0.25">
      <c r="A594" s="139">
        <v>4634</v>
      </c>
      <c r="B594" s="626" t="s">
        <v>2179</v>
      </c>
      <c r="C594" s="626"/>
      <c r="D594" s="626"/>
      <c r="E594" s="626"/>
      <c r="F594" s="626"/>
      <c r="G594" s="626"/>
      <c r="H594" s="627"/>
    </row>
    <row r="595" spans="1:8" ht="15" customHeight="1" x14ac:dyDescent="0.25">
      <c r="A595" s="139">
        <v>4635</v>
      </c>
      <c r="B595" s="626" t="s">
        <v>2180</v>
      </c>
      <c r="C595" s="626"/>
      <c r="D595" s="626"/>
      <c r="E595" s="626"/>
      <c r="F595" s="626"/>
      <c r="G595" s="626"/>
      <c r="H595" s="627"/>
    </row>
    <row r="596" spans="1:8" ht="15" customHeight="1" x14ac:dyDescent="0.25">
      <c r="A596" s="139">
        <v>4636</v>
      </c>
      <c r="B596" s="626" t="s">
        <v>2181</v>
      </c>
      <c r="C596" s="626"/>
      <c r="D596" s="626"/>
      <c r="E596" s="626"/>
      <c r="F596" s="626"/>
      <c r="G596" s="626"/>
      <c r="H596" s="627"/>
    </row>
    <row r="597" spans="1:8" ht="15" customHeight="1" x14ac:dyDescent="0.25">
      <c r="A597" s="139">
        <v>4637</v>
      </c>
      <c r="B597" s="626" t="s">
        <v>2182</v>
      </c>
      <c r="C597" s="626"/>
      <c r="D597" s="626"/>
      <c r="E597" s="626"/>
      <c r="F597" s="626"/>
      <c r="G597" s="626"/>
      <c r="H597" s="627"/>
    </row>
    <row r="598" spans="1:8" ht="15" customHeight="1" x14ac:dyDescent="0.25">
      <c r="A598" s="139">
        <v>4638</v>
      </c>
      <c r="B598" s="626" t="s">
        <v>1265</v>
      </c>
      <c r="C598" s="626"/>
      <c r="D598" s="626"/>
      <c r="E598" s="626"/>
      <c r="F598" s="626"/>
      <c r="G598" s="626"/>
      <c r="H598" s="627"/>
    </row>
    <row r="599" spans="1:8" ht="15" customHeight="1" x14ac:dyDescent="0.25">
      <c r="A599" s="139">
        <v>4639</v>
      </c>
      <c r="B599" s="626" t="s">
        <v>1266</v>
      </c>
      <c r="C599" s="626"/>
      <c r="D599" s="626"/>
      <c r="E599" s="626"/>
      <c r="F599" s="626"/>
      <c r="G599" s="626"/>
      <c r="H599" s="627"/>
    </row>
    <row r="600" spans="1:8" ht="15" customHeight="1" x14ac:dyDescent="0.25">
      <c r="A600" s="139">
        <v>4641</v>
      </c>
      <c r="B600" s="626" t="s">
        <v>4072</v>
      </c>
      <c r="C600" s="626"/>
      <c r="D600" s="626"/>
      <c r="E600" s="626"/>
      <c r="F600" s="626"/>
      <c r="G600" s="626"/>
      <c r="H600" s="627"/>
    </row>
    <row r="601" spans="1:8" ht="15" customHeight="1" x14ac:dyDescent="0.25">
      <c r="A601" s="139">
        <v>4642</v>
      </c>
      <c r="B601" s="626" t="s">
        <v>1267</v>
      </c>
      <c r="C601" s="626"/>
      <c r="D601" s="626"/>
      <c r="E601" s="626"/>
      <c r="F601" s="626"/>
      <c r="G601" s="626"/>
      <c r="H601" s="627"/>
    </row>
    <row r="602" spans="1:8" ht="15" customHeight="1" x14ac:dyDescent="0.25">
      <c r="A602" s="139">
        <v>4643</v>
      </c>
      <c r="B602" s="626" t="s">
        <v>2425</v>
      </c>
      <c r="C602" s="626"/>
      <c r="D602" s="626"/>
      <c r="E602" s="626"/>
      <c r="F602" s="626"/>
      <c r="G602" s="626"/>
      <c r="H602" s="627"/>
    </row>
    <row r="603" spans="1:8" ht="15" customHeight="1" x14ac:dyDescent="0.25">
      <c r="A603" s="139">
        <v>4644</v>
      </c>
      <c r="B603" s="626" t="s">
        <v>2426</v>
      </c>
      <c r="C603" s="626"/>
      <c r="D603" s="626"/>
      <c r="E603" s="626"/>
      <c r="F603" s="626"/>
      <c r="G603" s="626"/>
      <c r="H603" s="627"/>
    </row>
    <row r="604" spans="1:8" ht="15" customHeight="1" x14ac:dyDescent="0.25">
      <c r="A604" s="139">
        <v>4645</v>
      </c>
      <c r="B604" s="626" t="s">
        <v>4073</v>
      </c>
      <c r="C604" s="626"/>
      <c r="D604" s="626"/>
      <c r="E604" s="626"/>
      <c r="F604" s="626"/>
      <c r="G604" s="626"/>
      <c r="H604" s="627"/>
    </row>
    <row r="605" spans="1:8" ht="15" customHeight="1" x14ac:dyDescent="0.25">
      <c r="A605" s="139">
        <v>4646</v>
      </c>
      <c r="B605" s="626" t="s">
        <v>2427</v>
      </c>
      <c r="C605" s="626"/>
      <c r="D605" s="626"/>
      <c r="E605" s="626"/>
      <c r="F605" s="626"/>
      <c r="G605" s="626"/>
      <c r="H605" s="627"/>
    </row>
    <row r="606" spans="1:8" ht="15" customHeight="1" x14ac:dyDescent="0.25">
      <c r="A606" s="139">
        <v>4647</v>
      </c>
      <c r="B606" s="626" t="s">
        <v>2428</v>
      </c>
      <c r="C606" s="626"/>
      <c r="D606" s="626"/>
      <c r="E606" s="626"/>
      <c r="F606" s="626"/>
      <c r="G606" s="626"/>
      <c r="H606" s="627"/>
    </row>
    <row r="607" spans="1:8" ht="15" customHeight="1" x14ac:dyDescent="0.25">
      <c r="A607" s="139">
        <v>4648</v>
      </c>
      <c r="B607" s="626" t="s">
        <v>2261</v>
      </c>
      <c r="C607" s="626"/>
      <c r="D607" s="626"/>
      <c r="E607" s="626"/>
      <c r="F607" s="626"/>
      <c r="G607" s="626"/>
      <c r="H607" s="627"/>
    </row>
    <row r="608" spans="1:8" ht="15" customHeight="1" x14ac:dyDescent="0.25">
      <c r="A608" s="139">
        <v>4649</v>
      </c>
      <c r="B608" s="626" t="s">
        <v>2262</v>
      </c>
      <c r="C608" s="626"/>
      <c r="D608" s="626"/>
      <c r="E608" s="626"/>
      <c r="F608" s="626"/>
      <c r="G608" s="626"/>
      <c r="H608" s="627"/>
    </row>
    <row r="609" spans="1:8" ht="15" customHeight="1" x14ac:dyDescent="0.25">
      <c r="A609" s="139">
        <v>4651</v>
      </c>
      <c r="B609" s="626" t="s">
        <v>4476</v>
      </c>
      <c r="C609" s="626"/>
      <c r="D609" s="626"/>
      <c r="E609" s="626"/>
      <c r="F609" s="626"/>
      <c r="G609" s="626"/>
      <c r="H609" s="627"/>
    </row>
    <row r="610" spans="1:8" ht="15" customHeight="1" x14ac:dyDescent="0.25">
      <c r="A610" s="139">
        <v>4652</v>
      </c>
      <c r="B610" s="626" t="s">
        <v>4477</v>
      </c>
      <c r="C610" s="626"/>
      <c r="D610" s="626"/>
      <c r="E610" s="626"/>
      <c r="F610" s="626"/>
      <c r="G610" s="626"/>
      <c r="H610" s="627"/>
    </row>
    <row r="611" spans="1:8" ht="15" customHeight="1" x14ac:dyDescent="0.25">
      <c r="A611" s="139">
        <v>4661</v>
      </c>
      <c r="B611" s="626" t="s">
        <v>3254</v>
      </c>
      <c r="C611" s="626"/>
      <c r="D611" s="626"/>
      <c r="E611" s="626"/>
      <c r="F611" s="626"/>
      <c r="G611" s="626"/>
      <c r="H611" s="627"/>
    </row>
    <row r="612" spans="1:8" ht="15" customHeight="1" x14ac:dyDescent="0.25">
      <c r="A612" s="139">
        <v>4662</v>
      </c>
      <c r="B612" s="626" t="s">
        <v>2274</v>
      </c>
      <c r="C612" s="626"/>
      <c r="D612" s="626"/>
      <c r="E612" s="626"/>
      <c r="F612" s="626"/>
      <c r="G612" s="626"/>
      <c r="H612" s="627"/>
    </row>
    <row r="613" spans="1:8" ht="15" customHeight="1" x14ac:dyDescent="0.25">
      <c r="A613" s="139">
        <v>4663</v>
      </c>
      <c r="B613" s="626" t="s">
        <v>2275</v>
      </c>
      <c r="C613" s="626"/>
      <c r="D613" s="626"/>
      <c r="E613" s="626"/>
      <c r="F613" s="626"/>
      <c r="G613" s="626"/>
      <c r="H613" s="627"/>
    </row>
    <row r="614" spans="1:8" ht="15" customHeight="1" x14ac:dyDescent="0.25">
      <c r="A614" s="139">
        <v>4664</v>
      </c>
      <c r="B614" s="626" t="s">
        <v>3255</v>
      </c>
      <c r="C614" s="626"/>
      <c r="D614" s="626"/>
      <c r="E614" s="626"/>
      <c r="F614" s="626"/>
      <c r="G614" s="626"/>
      <c r="H614" s="627"/>
    </row>
    <row r="615" spans="1:8" ht="15" customHeight="1" x14ac:dyDescent="0.25">
      <c r="A615" s="139">
        <v>4665</v>
      </c>
      <c r="B615" s="626" t="s">
        <v>3256</v>
      </c>
      <c r="C615" s="626"/>
      <c r="D615" s="626"/>
      <c r="E615" s="626"/>
      <c r="F615" s="626"/>
      <c r="G615" s="626"/>
      <c r="H615" s="627"/>
    </row>
    <row r="616" spans="1:8" ht="15" customHeight="1" x14ac:dyDescent="0.25">
      <c r="A616" s="139">
        <v>4666</v>
      </c>
      <c r="B616" s="626" t="s">
        <v>2276</v>
      </c>
      <c r="C616" s="626"/>
      <c r="D616" s="626"/>
      <c r="E616" s="626"/>
      <c r="F616" s="626"/>
      <c r="G616" s="626"/>
      <c r="H616" s="627"/>
    </row>
    <row r="617" spans="1:8" ht="15" customHeight="1" x14ac:dyDescent="0.25">
      <c r="A617" s="139">
        <v>4669</v>
      </c>
      <c r="B617" s="626" t="s">
        <v>3257</v>
      </c>
      <c r="C617" s="626"/>
      <c r="D617" s="626"/>
      <c r="E617" s="626"/>
      <c r="F617" s="626"/>
      <c r="G617" s="626"/>
      <c r="H617" s="627"/>
    </row>
    <row r="618" spans="1:8" ht="15" customHeight="1" x14ac:dyDescent="0.25">
      <c r="A618" s="139">
        <v>4671</v>
      </c>
      <c r="B618" s="626" t="s">
        <v>3258</v>
      </c>
      <c r="C618" s="626"/>
      <c r="D618" s="626"/>
      <c r="E618" s="626"/>
      <c r="F618" s="626"/>
      <c r="G618" s="626"/>
      <c r="H618" s="627"/>
    </row>
    <row r="619" spans="1:8" ht="15" customHeight="1" x14ac:dyDescent="0.25">
      <c r="A619" s="139">
        <v>4672</v>
      </c>
      <c r="B619" s="626" t="s">
        <v>3259</v>
      </c>
      <c r="C619" s="626"/>
      <c r="D619" s="626"/>
      <c r="E619" s="626"/>
      <c r="F619" s="626"/>
      <c r="G619" s="626"/>
      <c r="H619" s="627"/>
    </row>
    <row r="620" spans="1:8" ht="15" customHeight="1" x14ac:dyDescent="0.25">
      <c r="A620" s="139">
        <v>4673</v>
      </c>
      <c r="B620" s="626" t="s">
        <v>642</v>
      </c>
      <c r="C620" s="626"/>
      <c r="D620" s="626"/>
      <c r="E620" s="626"/>
      <c r="F620" s="626"/>
      <c r="G620" s="626"/>
      <c r="H620" s="627"/>
    </row>
    <row r="621" spans="1:8" ht="15" customHeight="1" x14ac:dyDescent="0.25">
      <c r="A621" s="139">
        <v>4674</v>
      </c>
      <c r="B621" s="626" t="s">
        <v>643</v>
      </c>
      <c r="C621" s="626"/>
      <c r="D621" s="626"/>
      <c r="E621" s="626"/>
      <c r="F621" s="626"/>
      <c r="G621" s="626"/>
      <c r="H621" s="627"/>
    </row>
    <row r="622" spans="1:8" ht="15" customHeight="1" x14ac:dyDescent="0.25">
      <c r="A622" s="139">
        <v>4675</v>
      </c>
      <c r="B622" s="626" t="s">
        <v>2194</v>
      </c>
      <c r="C622" s="626"/>
      <c r="D622" s="626"/>
      <c r="E622" s="626"/>
      <c r="F622" s="626"/>
      <c r="G622" s="626"/>
      <c r="H622" s="627"/>
    </row>
    <row r="623" spans="1:8" ht="15" customHeight="1" x14ac:dyDescent="0.25">
      <c r="A623" s="139">
        <v>4676</v>
      </c>
      <c r="B623" s="626" t="s">
        <v>2273</v>
      </c>
      <c r="C623" s="626"/>
      <c r="D623" s="626"/>
      <c r="E623" s="626"/>
      <c r="F623" s="626"/>
      <c r="G623" s="626"/>
      <c r="H623" s="627"/>
    </row>
    <row r="624" spans="1:8" ht="15" customHeight="1" x14ac:dyDescent="0.25">
      <c r="A624" s="139">
        <v>4677</v>
      </c>
      <c r="B624" s="626" t="s">
        <v>644</v>
      </c>
      <c r="C624" s="626"/>
      <c r="D624" s="626"/>
      <c r="E624" s="626"/>
      <c r="F624" s="626"/>
      <c r="G624" s="626"/>
      <c r="H624" s="627"/>
    </row>
    <row r="625" spans="1:8" ht="15" customHeight="1" x14ac:dyDescent="0.25">
      <c r="A625" s="139">
        <v>4690</v>
      </c>
      <c r="B625" s="626" t="s">
        <v>645</v>
      </c>
      <c r="C625" s="626"/>
      <c r="D625" s="626"/>
      <c r="E625" s="626"/>
      <c r="F625" s="626"/>
      <c r="G625" s="626"/>
      <c r="H625" s="627"/>
    </row>
    <row r="626" spans="1:8" ht="15" customHeight="1" x14ac:dyDescent="0.25">
      <c r="A626" s="139">
        <v>4711</v>
      </c>
      <c r="B626" s="626" t="s">
        <v>646</v>
      </c>
      <c r="C626" s="626"/>
      <c r="D626" s="626"/>
      <c r="E626" s="626"/>
      <c r="F626" s="626"/>
      <c r="G626" s="626"/>
      <c r="H626" s="627"/>
    </row>
    <row r="627" spans="1:8" ht="15" customHeight="1" x14ac:dyDescent="0.25">
      <c r="A627" s="139">
        <v>4719</v>
      </c>
      <c r="B627" s="626" t="s">
        <v>1950</v>
      </c>
      <c r="C627" s="626"/>
      <c r="D627" s="626"/>
      <c r="E627" s="626"/>
      <c r="F627" s="626"/>
      <c r="G627" s="626"/>
      <c r="H627" s="627"/>
    </row>
    <row r="628" spans="1:8" ht="15" customHeight="1" x14ac:dyDescent="0.25">
      <c r="A628" s="139">
        <v>4721</v>
      </c>
      <c r="B628" s="626" t="s">
        <v>1951</v>
      </c>
      <c r="C628" s="626"/>
      <c r="D628" s="626"/>
      <c r="E628" s="626"/>
      <c r="F628" s="626"/>
      <c r="G628" s="626"/>
      <c r="H628" s="627"/>
    </row>
    <row r="629" spans="1:8" ht="15" customHeight="1" x14ac:dyDescent="0.25">
      <c r="A629" s="139">
        <v>4722</v>
      </c>
      <c r="B629" s="626" t="s">
        <v>3131</v>
      </c>
      <c r="C629" s="626"/>
      <c r="D629" s="626"/>
      <c r="E629" s="626"/>
      <c r="F629" s="626"/>
      <c r="G629" s="626"/>
      <c r="H629" s="627"/>
    </row>
    <row r="630" spans="1:8" ht="15" customHeight="1" x14ac:dyDescent="0.25">
      <c r="A630" s="139">
        <v>4723</v>
      </c>
      <c r="B630" s="626" t="s">
        <v>3567</v>
      </c>
      <c r="C630" s="626"/>
      <c r="D630" s="626"/>
      <c r="E630" s="626"/>
      <c r="F630" s="626"/>
      <c r="G630" s="626"/>
      <c r="H630" s="627"/>
    </row>
    <row r="631" spans="1:8" ht="15" customHeight="1" x14ac:dyDescent="0.25">
      <c r="A631" s="139">
        <v>4724</v>
      </c>
      <c r="B631" s="626" t="s">
        <v>3568</v>
      </c>
      <c r="C631" s="626"/>
      <c r="D631" s="626"/>
      <c r="E631" s="626"/>
      <c r="F631" s="626"/>
      <c r="G631" s="626"/>
      <c r="H631" s="627"/>
    </row>
    <row r="632" spans="1:8" ht="15" customHeight="1" x14ac:dyDescent="0.25">
      <c r="A632" s="139">
        <v>4725</v>
      </c>
      <c r="B632" s="626" t="s">
        <v>3569</v>
      </c>
      <c r="C632" s="626"/>
      <c r="D632" s="626"/>
      <c r="E632" s="626"/>
      <c r="F632" s="626"/>
      <c r="G632" s="626"/>
      <c r="H632" s="627"/>
    </row>
    <row r="633" spans="1:8" ht="15" customHeight="1" x14ac:dyDescent="0.25">
      <c r="A633" s="139">
        <v>4726</v>
      </c>
      <c r="B633" s="626" t="s">
        <v>3570</v>
      </c>
      <c r="C633" s="626"/>
      <c r="D633" s="626"/>
      <c r="E633" s="626"/>
      <c r="F633" s="626"/>
      <c r="G633" s="626"/>
      <c r="H633" s="627"/>
    </row>
    <row r="634" spans="1:8" ht="15" customHeight="1" x14ac:dyDescent="0.25">
      <c r="A634" s="139">
        <v>4729</v>
      </c>
      <c r="B634" s="626" t="s">
        <v>3571</v>
      </c>
      <c r="C634" s="626"/>
      <c r="D634" s="626"/>
      <c r="E634" s="626"/>
      <c r="F634" s="626"/>
      <c r="G634" s="626"/>
      <c r="H634" s="627"/>
    </row>
    <row r="635" spans="1:8" ht="15" customHeight="1" x14ac:dyDescent="0.25">
      <c r="A635" s="139">
        <v>4730</v>
      </c>
      <c r="B635" s="626" t="s">
        <v>3572</v>
      </c>
      <c r="C635" s="626"/>
      <c r="D635" s="626"/>
      <c r="E635" s="626"/>
      <c r="F635" s="626"/>
      <c r="G635" s="626"/>
      <c r="H635" s="627"/>
    </row>
    <row r="636" spans="1:8" ht="15" customHeight="1" x14ac:dyDescent="0.25">
      <c r="A636" s="139">
        <v>4741</v>
      </c>
      <c r="B636" s="626" t="s">
        <v>3573</v>
      </c>
      <c r="C636" s="626"/>
      <c r="D636" s="626"/>
      <c r="E636" s="626"/>
      <c r="F636" s="626"/>
      <c r="G636" s="626"/>
      <c r="H636" s="627"/>
    </row>
    <row r="637" spans="1:8" ht="15" customHeight="1" x14ac:dyDescent="0.25">
      <c r="A637" s="139">
        <v>4742</v>
      </c>
      <c r="B637" s="626" t="s">
        <v>2659</v>
      </c>
      <c r="C637" s="626"/>
      <c r="D637" s="626"/>
      <c r="E637" s="626"/>
      <c r="F637" s="626"/>
      <c r="G637" s="626"/>
      <c r="H637" s="627"/>
    </row>
    <row r="638" spans="1:8" ht="15" customHeight="1" x14ac:dyDescent="0.25">
      <c r="A638" s="139">
        <v>4743</v>
      </c>
      <c r="B638" s="626" t="s">
        <v>1827</v>
      </c>
      <c r="C638" s="626"/>
      <c r="D638" s="626"/>
      <c r="E638" s="626"/>
      <c r="F638" s="626"/>
      <c r="G638" s="626"/>
      <c r="H638" s="627"/>
    </row>
    <row r="639" spans="1:8" ht="15" customHeight="1" x14ac:dyDescent="0.25">
      <c r="A639" s="139">
        <v>4751</v>
      </c>
      <c r="B639" s="626" t="s">
        <v>1749</v>
      </c>
      <c r="C639" s="626"/>
      <c r="D639" s="626"/>
      <c r="E639" s="626"/>
      <c r="F639" s="626"/>
      <c r="G639" s="626"/>
      <c r="H639" s="627"/>
    </row>
    <row r="640" spans="1:8" ht="15" customHeight="1" x14ac:dyDescent="0.25">
      <c r="A640" s="139">
        <v>4752</v>
      </c>
      <c r="B640" s="626" t="s">
        <v>1750</v>
      </c>
      <c r="C640" s="626"/>
      <c r="D640" s="626"/>
      <c r="E640" s="626"/>
      <c r="F640" s="626"/>
      <c r="G640" s="626"/>
      <c r="H640" s="627"/>
    </row>
    <row r="641" spans="1:8" ht="15" customHeight="1" x14ac:dyDescent="0.25">
      <c r="A641" s="139">
        <v>4753</v>
      </c>
      <c r="B641" s="626" t="s">
        <v>1751</v>
      </c>
      <c r="C641" s="626"/>
      <c r="D641" s="626"/>
      <c r="E641" s="626"/>
      <c r="F641" s="626"/>
      <c r="G641" s="626"/>
      <c r="H641" s="627"/>
    </row>
    <row r="642" spans="1:8" ht="15" customHeight="1" x14ac:dyDescent="0.25">
      <c r="A642" s="139">
        <v>4754</v>
      </c>
      <c r="B642" s="626" t="s">
        <v>1752</v>
      </c>
      <c r="C642" s="626"/>
      <c r="D642" s="626"/>
      <c r="E642" s="626"/>
      <c r="F642" s="626"/>
      <c r="G642" s="626"/>
      <c r="H642" s="627"/>
    </row>
    <row r="643" spans="1:8" ht="15" customHeight="1" x14ac:dyDescent="0.25">
      <c r="A643" s="139">
        <v>4759</v>
      </c>
      <c r="B643" s="626" t="s">
        <v>1753</v>
      </c>
      <c r="C643" s="626"/>
      <c r="D643" s="626"/>
      <c r="E643" s="626"/>
      <c r="F643" s="626"/>
      <c r="G643" s="626"/>
      <c r="H643" s="627"/>
    </row>
    <row r="644" spans="1:8" ht="15" customHeight="1" x14ac:dyDescent="0.25">
      <c r="A644" s="139">
        <v>4761</v>
      </c>
      <c r="B644" s="626" t="s">
        <v>1754</v>
      </c>
      <c r="C644" s="626"/>
      <c r="D644" s="626"/>
      <c r="E644" s="626"/>
      <c r="F644" s="626"/>
      <c r="G644" s="626"/>
      <c r="H644" s="627"/>
    </row>
    <row r="645" spans="1:8" ht="15" customHeight="1" x14ac:dyDescent="0.25">
      <c r="A645" s="139">
        <v>4762</v>
      </c>
      <c r="B645" s="626" t="s">
        <v>2972</v>
      </c>
      <c r="C645" s="626"/>
      <c r="D645" s="626"/>
      <c r="E645" s="626"/>
      <c r="F645" s="626"/>
      <c r="G645" s="626"/>
      <c r="H645" s="627"/>
    </row>
    <row r="646" spans="1:8" ht="15" customHeight="1" x14ac:dyDescent="0.25">
      <c r="A646" s="139">
        <v>4763</v>
      </c>
      <c r="B646" s="626" t="s">
        <v>2973</v>
      </c>
      <c r="C646" s="626"/>
      <c r="D646" s="626"/>
      <c r="E646" s="626"/>
      <c r="F646" s="626"/>
      <c r="G646" s="626"/>
      <c r="H646" s="627"/>
    </row>
    <row r="647" spans="1:8" ht="15" customHeight="1" x14ac:dyDescent="0.25">
      <c r="A647" s="139">
        <v>4764</v>
      </c>
      <c r="B647" s="626" t="s">
        <v>2974</v>
      </c>
      <c r="C647" s="626"/>
      <c r="D647" s="626"/>
      <c r="E647" s="626"/>
      <c r="F647" s="626"/>
      <c r="G647" s="626"/>
      <c r="H647" s="627"/>
    </row>
    <row r="648" spans="1:8" ht="15" customHeight="1" x14ac:dyDescent="0.25">
      <c r="A648" s="139">
        <v>4765</v>
      </c>
      <c r="B648" s="626" t="s">
        <v>2975</v>
      </c>
      <c r="C648" s="626"/>
      <c r="D648" s="626"/>
      <c r="E648" s="626"/>
      <c r="F648" s="626"/>
      <c r="G648" s="626"/>
      <c r="H648" s="627"/>
    </row>
    <row r="649" spans="1:8" ht="15" customHeight="1" x14ac:dyDescent="0.25">
      <c r="A649" s="139">
        <v>4771</v>
      </c>
      <c r="B649" s="626" t="s">
        <v>2976</v>
      </c>
      <c r="C649" s="626"/>
      <c r="D649" s="626"/>
      <c r="E649" s="626"/>
      <c r="F649" s="626"/>
      <c r="G649" s="626"/>
      <c r="H649" s="627"/>
    </row>
    <row r="650" spans="1:8" ht="15" customHeight="1" x14ac:dyDescent="0.25">
      <c r="A650" s="139">
        <v>4772</v>
      </c>
      <c r="B650" s="626" t="s">
        <v>1780</v>
      </c>
      <c r="C650" s="626"/>
      <c r="D650" s="626"/>
      <c r="E650" s="626"/>
      <c r="F650" s="626"/>
      <c r="G650" s="626"/>
      <c r="H650" s="627"/>
    </row>
    <row r="651" spans="1:8" ht="15" customHeight="1" x14ac:dyDescent="0.25">
      <c r="A651" s="139">
        <v>4773</v>
      </c>
      <c r="B651" s="626" t="s">
        <v>1781</v>
      </c>
      <c r="C651" s="626"/>
      <c r="D651" s="626"/>
      <c r="E651" s="626"/>
      <c r="F651" s="626"/>
      <c r="G651" s="626"/>
      <c r="H651" s="627"/>
    </row>
    <row r="652" spans="1:8" ht="15" customHeight="1" x14ac:dyDescent="0.25">
      <c r="A652" s="139">
        <v>4774</v>
      </c>
      <c r="B652" s="626" t="s">
        <v>1782</v>
      </c>
      <c r="C652" s="626"/>
      <c r="D652" s="626"/>
      <c r="E652" s="626"/>
      <c r="F652" s="626"/>
      <c r="G652" s="626"/>
      <c r="H652" s="627"/>
    </row>
    <row r="653" spans="1:8" ht="15" customHeight="1" x14ac:dyDescent="0.25">
      <c r="A653" s="139">
        <v>4775</v>
      </c>
      <c r="B653" s="626" t="s">
        <v>1783</v>
      </c>
      <c r="C653" s="626"/>
      <c r="D653" s="626"/>
      <c r="E653" s="626"/>
      <c r="F653" s="626"/>
      <c r="G653" s="626"/>
      <c r="H653" s="627"/>
    </row>
    <row r="654" spans="1:8" ht="24.9" customHeight="1" x14ac:dyDescent="0.25">
      <c r="A654" s="139">
        <v>4776</v>
      </c>
      <c r="B654" s="626" t="s">
        <v>1784</v>
      </c>
      <c r="C654" s="626"/>
      <c r="D654" s="626"/>
      <c r="E654" s="626"/>
      <c r="F654" s="626"/>
      <c r="G654" s="626"/>
      <c r="H654" s="627"/>
    </row>
    <row r="655" spans="1:8" ht="15" customHeight="1" x14ac:dyDescent="0.25">
      <c r="A655" s="139">
        <v>4777</v>
      </c>
      <c r="B655" s="626" t="s">
        <v>1785</v>
      </c>
      <c r="C655" s="626"/>
      <c r="D655" s="626"/>
      <c r="E655" s="626"/>
      <c r="F655" s="626"/>
      <c r="G655" s="626"/>
      <c r="H655" s="627"/>
    </row>
    <row r="656" spans="1:8" ht="15" customHeight="1" x14ac:dyDescent="0.25">
      <c r="A656" s="139">
        <v>4778</v>
      </c>
      <c r="B656" s="626" t="s">
        <v>1786</v>
      </c>
      <c r="C656" s="626"/>
      <c r="D656" s="626"/>
      <c r="E656" s="626"/>
      <c r="F656" s="626"/>
      <c r="G656" s="626"/>
      <c r="H656" s="627"/>
    </row>
    <row r="657" spans="1:8" ht="15" customHeight="1" x14ac:dyDescent="0.25">
      <c r="A657" s="139">
        <v>4779</v>
      </c>
      <c r="B657" s="626" t="s">
        <v>1534</v>
      </c>
      <c r="C657" s="626"/>
      <c r="D657" s="626"/>
      <c r="E657" s="626"/>
      <c r="F657" s="626"/>
      <c r="G657" s="626"/>
      <c r="H657" s="627"/>
    </row>
    <row r="658" spans="1:8" ht="15" customHeight="1" x14ac:dyDescent="0.25">
      <c r="A658" s="139">
        <v>4781</v>
      </c>
      <c r="B658" s="626" t="s">
        <v>1535</v>
      </c>
      <c r="C658" s="626"/>
      <c r="D658" s="626"/>
      <c r="E658" s="626"/>
      <c r="F658" s="626"/>
      <c r="G658" s="626"/>
      <c r="H658" s="627"/>
    </row>
    <row r="659" spans="1:8" ht="15" customHeight="1" x14ac:dyDescent="0.25">
      <c r="A659" s="139">
        <v>4782</v>
      </c>
      <c r="B659" s="626" t="s">
        <v>3463</v>
      </c>
      <c r="C659" s="626"/>
      <c r="D659" s="626"/>
      <c r="E659" s="626"/>
      <c r="F659" s="626"/>
      <c r="G659" s="626"/>
      <c r="H659" s="627"/>
    </row>
    <row r="660" spans="1:8" ht="15" customHeight="1" x14ac:dyDescent="0.25">
      <c r="A660" s="139">
        <v>4789</v>
      </c>
      <c r="B660" s="626" t="s">
        <v>3464</v>
      </c>
      <c r="C660" s="626"/>
      <c r="D660" s="626"/>
      <c r="E660" s="626"/>
      <c r="F660" s="626"/>
      <c r="G660" s="626"/>
      <c r="H660" s="627"/>
    </row>
    <row r="661" spans="1:8" ht="15" customHeight="1" x14ac:dyDescent="0.25">
      <c r="A661" s="139">
        <v>4791</v>
      </c>
      <c r="B661" s="626" t="s">
        <v>3465</v>
      </c>
      <c r="C661" s="626"/>
      <c r="D661" s="626"/>
      <c r="E661" s="626"/>
      <c r="F661" s="626"/>
      <c r="G661" s="626"/>
      <c r="H661" s="627"/>
    </row>
    <row r="662" spans="1:8" ht="15" customHeight="1" x14ac:dyDescent="0.25">
      <c r="A662" s="139">
        <v>4799</v>
      </c>
      <c r="B662" s="626" t="s">
        <v>3466</v>
      </c>
      <c r="C662" s="626"/>
      <c r="D662" s="626"/>
      <c r="E662" s="626"/>
      <c r="F662" s="626"/>
      <c r="G662" s="626"/>
      <c r="H662" s="627"/>
    </row>
    <row r="663" spans="1:8" ht="15" customHeight="1" x14ac:dyDescent="0.25">
      <c r="A663" s="139">
        <v>4910</v>
      </c>
      <c r="B663" s="626" t="s">
        <v>307</v>
      </c>
      <c r="C663" s="626"/>
      <c r="D663" s="626"/>
      <c r="E663" s="626"/>
      <c r="F663" s="626"/>
      <c r="G663" s="626"/>
      <c r="H663" s="627"/>
    </row>
    <row r="664" spans="1:8" ht="15" customHeight="1" x14ac:dyDescent="0.25">
      <c r="A664" s="139">
        <v>4920</v>
      </c>
      <c r="B664" s="626" t="s">
        <v>308</v>
      </c>
      <c r="C664" s="626"/>
      <c r="D664" s="626"/>
      <c r="E664" s="626"/>
      <c r="F664" s="626"/>
      <c r="G664" s="626"/>
      <c r="H664" s="627"/>
    </row>
    <row r="665" spans="1:8" ht="15" customHeight="1" x14ac:dyDescent="0.25">
      <c r="A665" s="139">
        <v>4931</v>
      </c>
      <c r="B665" s="626" t="s">
        <v>2998</v>
      </c>
      <c r="C665" s="626"/>
      <c r="D665" s="626"/>
      <c r="E665" s="626"/>
      <c r="F665" s="626"/>
      <c r="G665" s="626"/>
      <c r="H665" s="627"/>
    </row>
    <row r="666" spans="1:8" ht="15" customHeight="1" x14ac:dyDescent="0.25">
      <c r="A666" s="139">
        <v>4932</v>
      </c>
      <c r="B666" s="626" t="s">
        <v>2999</v>
      </c>
      <c r="C666" s="626"/>
      <c r="D666" s="626"/>
      <c r="E666" s="626"/>
      <c r="F666" s="626"/>
      <c r="G666" s="626"/>
      <c r="H666" s="627"/>
    </row>
    <row r="667" spans="1:8" ht="15" customHeight="1" x14ac:dyDescent="0.25">
      <c r="A667" s="139">
        <v>4939</v>
      </c>
      <c r="B667" s="626" t="s">
        <v>3000</v>
      </c>
      <c r="C667" s="626"/>
      <c r="D667" s="626"/>
      <c r="E667" s="626"/>
      <c r="F667" s="626"/>
      <c r="G667" s="626"/>
      <c r="H667" s="627"/>
    </row>
    <row r="668" spans="1:8" ht="15" customHeight="1" x14ac:dyDescent="0.25">
      <c r="A668" s="139">
        <v>4941</v>
      </c>
      <c r="B668" s="626" t="s">
        <v>1256</v>
      </c>
      <c r="C668" s="626"/>
      <c r="D668" s="626"/>
      <c r="E668" s="626"/>
      <c r="F668" s="626"/>
      <c r="G668" s="626"/>
      <c r="H668" s="627"/>
    </row>
    <row r="669" spans="1:8" ht="15" customHeight="1" x14ac:dyDescent="0.25">
      <c r="A669" s="139">
        <v>4942</v>
      </c>
      <c r="B669" s="626" t="s">
        <v>1051</v>
      </c>
      <c r="C669" s="626"/>
      <c r="D669" s="626"/>
      <c r="E669" s="626"/>
      <c r="F669" s="626"/>
      <c r="G669" s="626"/>
      <c r="H669" s="627"/>
    </row>
    <row r="670" spans="1:8" ht="15" customHeight="1" x14ac:dyDescent="0.25">
      <c r="A670" s="139">
        <v>4950</v>
      </c>
      <c r="B670" s="626" t="s">
        <v>1257</v>
      </c>
      <c r="C670" s="626"/>
      <c r="D670" s="626"/>
      <c r="E670" s="626"/>
      <c r="F670" s="626"/>
      <c r="G670" s="626"/>
      <c r="H670" s="627"/>
    </row>
    <row r="671" spans="1:8" ht="15" customHeight="1" x14ac:dyDescent="0.25">
      <c r="A671" s="139">
        <v>5010</v>
      </c>
      <c r="B671" s="626" t="s">
        <v>4479</v>
      </c>
      <c r="C671" s="626"/>
      <c r="D671" s="626"/>
      <c r="E671" s="626"/>
      <c r="F671" s="626"/>
      <c r="G671" s="626"/>
      <c r="H671" s="627"/>
    </row>
    <row r="672" spans="1:8" ht="15" customHeight="1" x14ac:dyDescent="0.25">
      <c r="A672" s="139">
        <v>5020</v>
      </c>
      <c r="B672" s="626" t="s">
        <v>4480</v>
      </c>
      <c r="C672" s="626"/>
      <c r="D672" s="626"/>
      <c r="E672" s="626"/>
      <c r="F672" s="626"/>
      <c r="G672" s="626"/>
      <c r="H672" s="627"/>
    </row>
    <row r="673" spans="1:8" ht="15" customHeight="1" x14ac:dyDescent="0.25">
      <c r="A673" s="139">
        <v>5030</v>
      </c>
      <c r="B673" s="626" t="s">
        <v>2255</v>
      </c>
      <c r="C673" s="626"/>
      <c r="D673" s="626"/>
      <c r="E673" s="626"/>
      <c r="F673" s="626"/>
      <c r="G673" s="626"/>
      <c r="H673" s="627"/>
    </row>
    <row r="674" spans="1:8" ht="15" customHeight="1" x14ac:dyDescent="0.25">
      <c r="A674" s="139">
        <v>5040</v>
      </c>
      <c r="B674" s="626" t="s">
        <v>2256</v>
      </c>
      <c r="C674" s="626"/>
      <c r="D674" s="626"/>
      <c r="E674" s="626"/>
      <c r="F674" s="626"/>
      <c r="G674" s="626"/>
      <c r="H674" s="627"/>
    </row>
    <row r="675" spans="1:8" ht="15" customHeight="1" x14ac:dyDescent="0.25">
      <c r="A675" s="139">
        <v>5110</v>
      </c>
      <c r="B675" s="626" t="s">
        <v>2257</v>
      </c>
      <c r="C675" s="626"/>
      <c r="D675" s="626"/>
      <c r="E675" s="626"/>
      <c r="F675" s="626"/>
      <c r="G675" s="626"/>
      <c r="H675" s="627"/>
    </row>
    <row r="676" spans="1:8" ht="15" customHeight="1" x14ac:dyDescent="0.25">
      <c r="A676" s="139">
        <v>5121</v>
      </c>
      <c r="B676" s="626" t="s">
        <v>2258</v>
      </c>
      <c r="C676" s="626"/>
      <c r="D676" s="626"/>
      <c r="E676" s="626"/>
      <c r="F676" s="626"/>
      <c r="G676" s="626"/>
      <c r="H676" s="627"/>
    </row>
    <row r="677" spans="1:8" ht="15" customHeight="1" x14ac:dyDescent="0.25">
      <c r="A677" s="139">
        <v>5122</v>
      </c>
      <c r="B677" s="626" t="s">
        <v>4481</v>
      </c>
      <c r="C677" s="626"/>
      <c r="D677" s="626"/>
      <c r="E677" s="626"/>
      <c r="F677" s="626"/>
      <c r="G677" s="626"/>
      <c r="H677" s="627"/>
    </row>
    <row r="678" spans="1:8" ht="15" customHeight="1" x14ac:dyDescent="0.25">
      <c r="A678" s="139">
        <v>5210</v>
      </c>
      <c r="B678" s="626" t="s">
        <v>4484</v>
      </c>
      <c r="C678" s="626"/>
      <c r="D678" s="626"/>
      <c r="E678" s="626"/>
      <c r="F678" s="626"/>
      <c r="G678" s="626"/>
      <c r="H678" s="627"/>
    </row>
    <row r="679" spans="1:8" ht="15" customHeight="1" x14ac:dyDescent="0.25">
      <c r="A679" s="139">
        <v>5221</v>
      </c>
      <c r="B679" s="626" t="s">
        <v>2259</v>
      </c>
      <c r="C679" s="626"/>
      <c r="D679" s="626"/>
      <c r="E679" s="626"/>
      <c r="F679" s="626"/>
      <c r="G679" s="626"/>
      <c r="H679" s="627"/>
    </row>
    <row r="680" spans="1:8" ht="15" customHeight="1" x14ac:dyDescent="0.25">
      <c r="A680" s="139">
        <v>5222</v>
      </c>
      <c r="B680" s="626" t="s">
        <v>2260</v>
      </c>
      <c r="C680" s="626"/>
      <c r="D680" s="626"/>
      <c r="E680" s="626"/>
      <c r="F680" s="626"/>
      <c r="G680" s="626"/>
      <c r="H680" s="627"/>
    </row>
    <row r="681" spans="1:8" ht="15" customHeight="1" x14ac:dyDescent="0.25">
      <c r="A681" s="139">
        <v>5223</v>
      </c>
      <c r="B681" s="626" t="s">
        <v>4119</v>
      </c>
      <c r="C681" s="626"/>
      <c r="D681" s="626"/>
      <c r="E681" s="626"/>
      <c r="F681" s="626"/>
      <c r="G681" s="626"/>
      <c r="H681" s="627"/>
    </row>
    <row r="682" spans="1:8" ht="15" customHeight="1" x14ac:dyDescent="0.25">
      <c r="A682" s="139">
        <v>5224</v>
      </c>
      <c r="B682" s="626" t="s">
        <v>4120</v>
      </c>
      <c r="C682" s="626"/>
      <c r="D682" s="626"/>
      <c r="E682" s="626"/>
      <c r="F682" s="626"/>
      <c r="G682" s="626"/>
      <c r="H682" s="627"/>
    </row>
    <row r="683" spans="1:8" ht="15" customHeight="1" x14ac:dyDescent="0.25">
      <c r="A683" s="139">
        <v>5229</v>
      </c>
      <c r="B683" s="626" t="s">
        <v>4121</v>
      </c>
      <c r="C683" s="626"/>
      <c r="D683" s="626"/>
      <c r="E683" s="626"/>
      <c r="F683" s="626"/>
      <c r="G683" s="626"/>
      <c r="H683" s="627"/>
    </row>
    <row r="684" spans="1:8" ht="15" customHeight="1" x14ac:dyDescent="0.25">
      <c r="A684" s="139">
        <v>5310</v>
      </c>
      <c r="B684" s="626" t="s">
        <v>4122</v>
      </c>
      <c r="C684" s="626"/>
      <c r="D684" s="626"/>
      <c r="E684" s="626"/>
      <c r="F684" s="626"/>
      <c r="G684" s="626"/>
      <c r="H684" s="627"/>
    </row>
    <row r="685" spans="1:8" ht="15" customHeight="1" x14ac:dyDescent="0.25">
      <c r="A685" s="139">
        <v>5320</v>
      </c>
      <c r="B685" s="626" t="s">
        <v>4123</v>
      </c>
      <c r="C685" s="626"/>
      <c r="D685" s="626"/>
      <c r="E685" s="626"/>
      <c r="F685" s="626"/>
      <c r="G685" s="626"/>
      <c r="H685" s="627"/>
    </row>
    <row r="686" spans="1:8" ht="15" customHeight="1" x14ac:dyDescent="0.25">
      <c r="A686" s="139">
        <v>5510</v>
      </c>
      <c r="B686" s="626" t="s">
        <v>4124</v>
      </c>
      <c r="C686" s="626"/>
      <c r="D686" s="626"/>
      <c r="E686" s="626"/>
      <c r="F686" s="626"/>
      <c r="G686" s="626"/>
      <c r="H686" s="627"/>
    </row>
    <row r="687" spans="1:8" ht="15" customHeight="1" x14ac:dyDescent="0.25">
      <c r="A687" s="139">
        <v>5520</v>
      </c>
      <c r="B687" s="626" t="s">
        <v>4318</v>
      </c>
      <c r="C687" s="626"/>
      <c r="D687" s="626"/>
      <c r="E687" s="626"/>
      <c r="F687" s="626"/>
      <c r="G687" s="626"/>
      <c r="H687" s="627"/>
    </row>
    <row r="688" spans="1:8" ht="15" customHeight="1" x14ac:dyDescent="0.25">
      <c r="A688" s="139">
        <v>5530</v>
      </c>
      <c r="B688" s="626" t="s">
        <v>4319</v>
      </c>
      <c r="C688" s="626"/>
      <c r="D688" s="626"/>
      <c r="E688" s="626"/>
      <c r="F688" s="626"/>
      <c r="G688" s="626"/>
      <c r="H688" s="627"/>
    </row>
    <row r="689" spans="1:8" ht="15" customHeight="1" x14ac:dyDescent="0.25">
      <c r="A689" s="139">
        <v>5590</v>
      </c>
      <c r="B689" s="626" t="s">
        <v>1251</v>
      </c>
      <c r="C689" s="626"/>
      <c r="D689" s="626"/>
      <c r="E689" s="626"/>
      <c r="F689" s="626"/>
      <c r="G689" s="626"/>
      <c r="H689" s="627"/>
    </row>
    <row r="690" spans="1:8" ht="15" customHeight="1" x14ac:dyDescent="0.25">
      <c r="A690" s="139">
        <v>5610</v>
      </c>
      <c r="B690" s="626" t="s">
        <v>4320</v>
      </c>
      <c r="C690" s="626"/>
      <c r="D690" s="626"/>
      <c r="E690" s="626"/>
      <c r="F690" s="626"/>
      <c r="G690" s="626"/>
      <c r="H690" s="627"/>
    </row>
    <row r="691" spans="1:8" ht="15" customHeight="1" x14ac:dyDescent="0.25">
      <c r="A691" s="139">
        <v>5621</v>
      </c>
      <c r="B691" s="626" t="s">
        <v>4321</v>
      </c>
      <c r="C691" s="626"/>
      <c r="D691" s="626"/>
      <c r="E691" s="626"/>
      <c r="F691" s="626"/>
      <c r="G691" s="626"/>
      <c r="H691" s="627"/>
    </row>
    <row r="692" spans="1:8" ht="15" customHeight="1" x14ac:dyDescent="0.25">
      <c r="A692" s="139">
        <v>5629</v>
      </c>
      <c r="B692" s="626" t="s">
        <v>4322</v>
      </c>
      <c r="C692" s="626"/>
      <c r="D692" s="626"/>
      <c r="E692" s="626"/>
      <c r="F692" s="626"/>
      <c r="G692" s="626"/>
      <c r="H692" s="627"/>
    </row>
    <row r="693" spans="1:8" ht="15" customHeight="1" x14ac:dyDescent="0.25">
      <c r="A693" s="139">
        <v>5630</v>
      </c>
      <c r="B693" s="626" t="s">
        <v>4323</v>
      </c>
      <c r="C693" s="626"/>
      <c r="D693" s="626"/>
      <c r="E693" s="626"/>
      <c r="F693" s="626"/>
      <c r="G693" s="626"/>
      <c r="H693" s="627"/>
    </row>
    <row r="694" spans="1:8" ht="15" customHeight="1" x14ac:dyDescent="0.25">
      <c r="A694" s="139">
        <v>5811</v>
      </c>
      <c r="B694" s="626" t="s">
        <v>4095</v>
      </c>
      <c r="C694" s="626"/>
      <c r="D694" s="626"/>
      <c r="E694" s="626"/>
      <c r="F694" s="626"/>
      <c r="G694" s="626"/>
      <c r="H694" s="627"/>
    </row>
    <row r="695" spans="1:8" ht="15" customHeight="1" x14ac:dyDescent="0.25">
      <c r="A695" s="139">
        <v>5812</v>
      </c>
      <c r="B695" s="626" t="s">
        <v>2471</v>
      </c>
      <c r="C695" s="626"/>
      <c r="D695" s="626"/>
      <c r="E695" s="626"/>
      <c r="F695" s="626"/>
      <c r="G695" s="626"/>
      <c r="H695" s="627"/>
    </row>
    <row r="696" spans="1:8" ht="15" customHeight="1" x14ac:dyDescent="0.25">
      <c r="A696" s="139">
        <v>5813</v>
      </c>
      <c r="B696" s="626" t="s">
        <v>4096</v>
      </c>
      <c r="C696" s="626"/>
      <c r="D696" s="626"/>
      <c r="E696" s="626"/>
      <c r="F696" s="626"/>
      <c r="G696" s="626"/>
      <c r="H696" s="627"/>
    </row>
    <row r="697" spans="1:8" ht="15" customHeight="1" x14ac:dyDescent="0.25">
      <c r="A697" s="139">
        <v>5814</v>
      </c>
      <c r="B697" s="626" t="s">
        <v>1503</v>
      </c>
      <c r="C697" s="626"/>
      <c r="D697" s="626"/>
      <c r="E697" s="626"/>
      <c r="F697" s="626"/>
      <c r="G697" s="626"/>
      <c r="H697" s="627"/>
    </row>
    <row r="698" spans="1:8" ht="15" customHeight="1" x14ac:dyDescent="0.25">
      <c r="A698" s="139">
        <v>5819</v>
      </c>
      <c r="B698" s="626" t="s">
        <v>1504</v>
      </c>
      <c r="C698" s="626"/>
      <c r="D698" s="626"/>
      <c r="E698" s="626"/>
      <c r="F698" s="626"/>
      <c r="G698" s="626"/>
      <c r="H698" s="627"/>
    </row>
    <row r="699" spans="1:8" ht="15" customHeight="1" x14ac:dyDescent="0.25">
      <c r="A699" s="139">
        <v>5821</v>
      </c>
      <c r="B699" s="626" t="s">
        <v>2954</v>
      </c>
      <c r="C699" s="626"/>
      <c r="D699" s="626"/>
      <c r="E699" s="626"/>
      <c r="F699" s="626"/>
      <c r="G699" s="626"/>
      <c r="H699" s="627"/>
    </row>
    <row r="700" spans="1:8" ht="15" customHeight="1" x14ac:dyDescent="0.25">
      <c r="A700" s="139">
        <v>5829</v>
      </c>
      <c r="B700" s="626" t="s">
        <v>2955</v>
      </c>
      <c r="C700" s="626"/>
      <c r="D700" s="626"/>
      <c r="E700" s="626"/>
      <c r="F700" s="626"/>
      <c r="G700" s="626"/>
      <c r="H700" s="627"/>
    </row>
    <row r="701" spans="1:8" ht="15" customHeight="1" x14ac:dyDescent="0.25">
      <c r="A701" s="139">
        <v>5911</v>
      </c>
      <c r="B701" s="626" t="s">
        <v>2956</v>
      </c>
      <c r="C701" s="626"/>
      <c r="D701" s="626"/>
      <c r="E701" s="626"/>
      <c r="F701" s="626"/>
      <c r="G701" s="626"/>
      <c r="H701" s="627"/>
    </row>
    <row r="702" spans="1:8" ht="15" customHeight="1" x14ac:dyDescent="0.25">
      <c r="A702" s="139">
        <v>5912</v>
      </c>
      <c r="B702" s="626" t="s">
        <v>2957</v>
      </c>
      <c r="C702" s="626"/>
      <c r="D702" s="626"/>
      <c r="E702" s="626"/>
      <c r="F702" s="626"/>
      <c r="G702" s="626"/>
      <c r="H702" s="627"/>
    </row>
    <row r="703" spans="1:8" ht="15" customHeight="1" x14ac:dyDescent="0.25">
      <c r="A703" s="139">
        <v>5913</v>
      </c>
      <c r="B703" s="626" t="s">
        <v>2958</v>
      </c>
      <c r="C703" s="626"/>
      <c r="D703" s="626"/>
      <c r="E703" s="626"/>
      <c r="F703" s="626"/>
      <c r="G703" s="626"/>
      <c r="H703" s="627"/>
    </row>
    <row r="704" spans="1:8" ht="15" customHeight="1" x14ac:dyDescent="0.25">
      <c r="A704" s="139">
        <v>5914</v>
      </c>
      <c r="B704" s="626" t="s">
        <v>2959</v>
      </c>
      <c r="C704" s="626"/>
      <c r="D704" s="626"/>
      <c r="E704" s="626"/>
      <c r="F704" s="626"/>
      <c r="G704" s="626"/>
      <c r="H704" s="627"/>
    </row>
    <row r="705" spans="1:8" ht="15" customHeight="1" x14ac:dyDescent="0.25">
      <c r="A705" s="139">
        <v>5920</v>
      </c>
      <c r="B705" s="626" t="s">
        <v>1960</v>
      </c>
      <c r="C705" s="626"/>
      <c r="D705" s="626"/>
      <c r="E705" s="626"/>
      <c r="F705" s="626"/>
      <c r="G705" s="626"/>
      <c r="H705" s="627"/>
    </row>
    <row r="706" spans="1:8" ht="15" customHeight="1" x14ac:dyDescent="0.25">
      <c r="A706" s="139">
        <v>6010</v>
      </c>
      <c r="B706" s="626" t="s">
        <v>1961</v>
      </c>
      <c r="C706" s="626"/>
      <c r="D706" s="626"/>
      <c r="E706" s="626"/>
      <c r="F706" s="626"/>
      <c r="G706" s="626"/>
      <c r="H706" s="627"/>
    </row>
    <row r="707" spans="1:8" ht="15" customHeight="1" x14ac:dyDescent="0.25">
      <c r="A707" s="139">
        <v>6020</v>
      </c>
      <c r="B707" s="626" t="s">
        <v>1962</v>
      </c>
      <c r="C707" s="626"/>
      <c r="D707" s="626"/>
      <c r="E707" s="626"/>
      <c r="F707" s="626"/>
      <c r="G707" s="626"/>
      <c r="H707" s="627"/>
    </row>
    <row r="708" spans="1:8" ht="15" customHeight="1" x14ac:dyDescent="0.25">
      <c r="A708" s="139">
        <v>6110</v>
      </c>
      <c r="B708" s="626" t="s">
        <v>1963</v>
      </c>
      <c r="C708" s="626"/>
      <c r="D708" s="626"/>
      <c r="E708" s="626"/>
      <c r="F708" s="626"/>
      <c r="G708" s="626"/>
      <c r="H708" s="627"/>
    </row>
    <row r="709" spans="1:8" ht="15" customHeight="1" x14ac:dyDescent="0.25">
      <c r="A709" s="139">
        <v>6120</v>
      </c>
      <c r="B709" s="626" t="s">
        <v>1964</v>
      </c>
      <c r="C709" s="626"/>
      <c r="D709" s="626"/>
      <c r="E709" s="626"/>
      <c r="F709" s="626"/>
      <c r="G709" s="626"/>
      <c r="H709" s="627"/>
    </row>
    <row r="710" spans="1:8" ht="15" customHeight="1" x14ac:dyDescent="0.25">
      <c r="A710" s="139">
        <v>6130</v>
      </c>
      <c r="B710" s="626" t="s">
        <v>1965</v>
      </c>
      <c r="C710" s="626"/>
      <c r="D710" s="626"/>
      <c r="E710" s="626"/>
      <c r="F710" s="626"/>
      <c r="G710" s="626"/>
      <c r="H710" s="627"/>
    </row>
    <row r="711" spans="1:8" ht="15" customHeight="1" x14ac:dyDescent="0.25">
      <c r="A711" s="139">
        <v>6190</v>
      </c>
      <c r="B711" s="626" t="s">
        <v>1966</v>
      </c>
      <c r="C711" s="626"/>
      <c r="D711" s="626"/>
      <c r="E711" s="626"/>
      <c r="F711" s="626"/>
      <c r="G711" s="626"/>
      <c r="H711" s="627"/>
    </row>
    <row r="712" spans="1:8" ht="15" customHeight="1" x14ac:dyDescent="0.25">
      <c r="A712" s="139">
        <v>6201</v>
      </c>
      <c r="B712" s="626" t="s">
        <v>1967</v>
      </c>
      <c r="C712" s="626"/>
      <c r="D712" s="626"/>
      <c r="E712" s="626"/>
      <c r="F712" s="626"/>
      <c r="G712" s="626"/>
      <c r="H712" s="627"/>
    </row>
    <row r="713" spans="1:8" ht="15" customHeight="1" x14ac:dyDescent="0.25">
      <c r="A713" s="139">
        <v>6202</v>
      </c>
      <c r="B713" s="626" t="s">
        <v>1968</v>
      </c>
      <c r="C713" s="626"/>
      <c r="D713" s="626"/>
      <c r="E713" s="626"/>
      <c r="F713" s="626"/>
      <c r="G713" s="626"/>
      <c r="H713" s="627"/>
    </row>
    <row r="714" spans="1:8" ht="15" customHeight="1" x14ac:dyDescent="0.25">
      <c r="A714" s="139">
        <v>6203</v>
      </c>
      <c r="B714" s="626" t="s">
        <v>1969</v>
      </c>
      <c r="C714" s="626"/>
      <c r="D714" s="626"/>
      <c r="E714" s="626"/>
      <c r="F714" s="626"/>
      <c r="G714" s="626"/>
      <c r="H714" s="627"/>
    </row>
    <row r="715" spans="1:8" ht="15" customHeight="1" x14ac:dyDescent="0.25">
      <c r="A715" s="139">
        <v>6209</v>
      </c>
      <c r="B715" s="626" t="s">
        <v>1970</v>
      </c>
      <c r="C715" s="626"/>
      <c r="D715" s="626"/>
      <c r="E715" s="626"/>
      <c r="F715" s="626"/>
      <c r="G715" s="626"/>
      <c r="H715" s="627"/>
    </row>
    <row r="716" spans="1:8" ht="15" customHeight="1" x14ac:dyDescent="0.25">
      <c r="A716" s="139">
        <v>6311</v>
      </c>
      <c r="B716" s="626" t="s">
        <v>1971</v>
      </c>
      <c r="C716" s="626"/>
      <c r="D716" s="626"/>
      <c r="E716" s="626"/>
      <c r="F716" s="626"/>
      <c r="G716" s="626"/>
      <c r="H716" s="627"/>
    </row>
    <row r="717" spans="1:8" ht="15" customHeight="1" x14ac:dyDescent="0.25">
      <c r="A717" s="139">
        <v>6312</v>
      </c>
      <c r="B717" s="626" t="s">
        <v>1972</v>
      </c>
      <c r="C717" s="626"/>
      <c r="D717" s="626"/>
      <c r="E717" s="626"/>
      <c r="F717" s="626"/>
      <c r="G717" s="626"/>
      <c r="H717" s="627"/>
    </row>
    <row r="718" spans="1:8" ht="15" customHeight="1" x14ac:dyDescent="0.25">
      <c r="A718" s="139">
        <v>6391</v>
      </c>
      <c r="B718" s="626" t="s">
        <v>1973</v>
      </c>
      <c r="C718" s="626"/>
      <c r="D718" s="626"/>
      <c r="E718" s="626"/>
      <c r="F718" s="626"/>
      <c r="G718" s="626"/>
      <c r="H718" s="627"/>
    </row>
    <row r="719" spans="1:8" ht="15" customHeight="1" x14ac:dyDescent="0.25">
      <c r="A719" s="139">
        <v>6399</v>
      </c>
      <c r="B719" s="626" t="s">
        <v>1974</v>
      </c>
      <c r="C719" s="626"/>
      <c r="D719" s="626"/>
      <c r="E719" s="626"/>
      <c r="F719" s="626"/>
      <c r="G719" s="626"/>
      <c r="H719" s="627"/>
    </row>
    <row r="720" spans="1:8" ht="15" customHeight="1" x14ac:dyDescent="0.25">
      <c r="A720" s="139">
        <v>6411</v>
      </c>
      <c r="B720" s="626" t="s">
        <v>1258</v>
      </c>
      <c r="C720" s="626"/>
      <c r="D720" s="626"/>
      <c r="E720" s="626"/>
      <c r="F720" s="626"/>
      <c r="G720" s="626"/>
      <c r="H720" s="627"/>
    </row>
    <row r="721" spans="1:8" ht="15" customHeight="1" x14ac:dyDescent="0.25">
      <c r="A721" s="139">
        <v>6419</v>
      </c>
      <c r="B721" s="626" t="s">
        <v>1975</v>
      </c>
      <c r="C721" s="626"/>
      <c r="D721" s="626"/>
      <c r="E721" s="626"/>
      <c r="F721" s="626"/>
      <c r="G721" s="626"/>
      <c r="H721" s="627"/>
    </row>
    <row r="722" spans="1:8" ht="15" customHeight="1" x14ac:dyDescent="0.25">
      <c r="A722" s="139">
        <v>6420</v>
      </c>
      <c r="B722" s="626" t="s">
        <v>1976</v>
      </c>
      <c r="C722" s="626"/>
      <c r="D722" s="626"/>
      <c r="E722" s="626"/>
      <c r="F722" s="626"/>
      <c r="G722" s="626"/>
      <c r="H722" s="627"/>
    </row>
    <row r="723" spans="1:8" ht="15" customHeight="1" x14ac:dyDescent="0.25">
      <c r="A723" s="139">
        <v>6430</v>
      </c>
      <c r="B723" s="626" t="s">
        <v>1886</v>
      </c>
      <c r="C723" s="626"/>
      <c r="D723" s="626"/>
      <c r="E723" s="626"/>
      <c r="F723" s="626"/>
      <c r="G723" s="626"/>
      <c r="H723" s="627"/>
    </row>
    <row r="724" spans="1:8" ht="15" customHeight="1" x14ac:dyDescent="0.25">
      <c r="A724" s="139">
        <v>6491</v>
      </c>
      <c r="B724" s="626" t="s">
        <v>1887</v>
      </c>
      <c r="C724" s="626"/>
      <c r="D724" s="626"/>
      <c r="E724" s="626"/>
      <c r="F724" s="626"/>
      <c r="G724" s="626"/>
      <c r="H724" s="627"/>
    </row>
    <row r="725" spans="1:8" ht="15" customHeight="1" x14ac:dyDescent="0.25">
      <c r="A725" s="139">
        <v>6492</v>
      </c>
      <c r="B725" s="626" t="s">
        <v>1259</v>
      </c>
      <c r="C725" s="626"/>
      <c r="D725" s="626"/>
      <c r="E725" s="626"/>
      <c r="F725" s="626"/>
      <c r="G725" s="626"/>
      <c r="H725" s="627"/>
    </row>
    <row r="726" spans="1:8" ht="15" customHeight="1" x14ac:dyDescent="0.25">
      <c r="A726" s="139">
        <v>6499</v>
      </c>
      <c r="B726" s="626" t="s">
        <v>2573</v>
      </c>
      <c r="C726" s="626"/>
      <c r="D726" s="626"/>
      <c r="E726" s="626"/>
      <c r="F726" s="626"/>
      <c r="G726" s="626"/>
      <c r="H726" s="627"/>
    </row>
    <row r="727" spans="1:8" ht="15" customHeight="1" x14ac:dyDescent="0.25">
      <c r="A727" s="139">
        <v>6511</v>
      </c>
      <c r="B727" s="626" t="s">
        <v>2574</v>
      </c>
      <c r="C727" s="626"/>
      <c r="D727" s="626"/>
      <c r="E727" s="626"/>
      <c r="F727" s="626"/>
      <c r="G727" s="626"/>
      <c r="H727" s="627"/>
    </row>
    <row r="728" spans="1:8" ht="15" customHeight="1" x14ac:dyDescent="0.25">
      <c r="A728" s="139">
        <v>6512</v>
      </c>
      <c r="B728" s="626" t="s">
        <v>4483</v>
      </c>
      <c r="C728" s="626"/>
      <c r="D728" s="626"/>
      <c r="E728" s="626"/>
      <c r="F728" s="626"/>
      <c r="G728" s="626"/>
      <c r="H728" s="627"/>
    </row>
    <row r="729" spans="1:8" ht="15" customHeight="1" x14ac:dyDescent="0.25">
      <c r="A729" s="139">
        <v>6520</v>
      </c>
      <c r="B729" s="626" t="s">
        <v>2575</v>
      </c>
      <c r="C729" s="626"/>
      <c r="D729" s="626"/>
      <c r="E729" s="626"/>
      <c r="F729" s="626"/>
      <c r="G729" s="626"/>
      <c r="H729" s="627"/>
    </row>
    <row r="730" spans="1:8" ht="15" customHeight="1" x14ac:dyDescent="0.25">
      <c r="A730" s="139">
        <v>6530</v>
      </c>
      <c r="B730" s="626" t="s">
        <v>4482</v>
      </c>
      <c r="C730" s="626"/>
      <c r="D730" s="626"/>
      <c r="E730" s="626"/>
      <c r="F730" s="626"/>
      <c r="G730" s="626"/>
      <c r="H730" s="627"/>
    </row>
    <row r="731" spans="1:8" ht="15" customHeight="1" x14ac:dyDescent="0.25">
      <c r="A731" s="139">
        <v>6611</v>
      </c>
      <c r="B731" s="626" t="s">
        <v>325</v>
      </c>
      <c r="C731" s="626"/>
      <c r="D731" s="626"/>
      <c r="E731" s="626"/>
      <c r="F731" s="626"/>
      <c r="G731" s="626"/>
      <c r="H731" s="627"/>
    </row>
    <row r="732" spans="1:8" ht="15" customHeight="1" x14ac:dyDescent="0.25">
      <c r="A732" s="139">
        <v>6612</v>
      </c>
      <c r="B732" s="626" t="s">
        <v>326</v>
      </c>
      <c r="C732" s="626"/>
      <c r="D732" s="626"/>
      <c r="E732" s="626"/>
      <c r="F732" s="626"/>
      <c r="G732" s="626"/>
      <c r="H732" s="627"/>
    </row>
    <row r="733" spans="1:8" ht="15" customHeight="1" x14ac:dyDescent="0.25">
      <c r="A733" s="139">
        <v>6619</v>
      </c>
      <c r="B733" s="626" t="s">
        <v>327</v>
      </c>
      <c r="C733" s="626"/>
      <c r="D733" s="626"/>
      <c r="E733" s="626"/>
      <c r="F733" s="626"/>
      <c r="G733" s="626"/>
      <c r="H733" s="627"/>
    </row>
    <row r="734" spans="1:8" ht="15" customHeight="1" x14ac:dyDescent="0.25">
      <c r="A734" s="139">
        <v>6621</v>
      </c>
      <c r="B734" s="626" t="s">
        <v>328</v>
      </c>
      <c r="C734" s="626"/>
      <c r="D734" s="626"/>
      <c r="E734" s="626"/>
      <c r="F734" s="626"/>
      <c r="G734" s="626"/>
      <c r="H734" s="627"/>
    </row>
    <row r="735" spans="1:8" ht="15" customHeight="1" x14ac:dyDescent="0.25">
      <c r="A735" s="139">
        <v>6622</v>
      </c>
      <c r="B735" s="626" t="s">
        <v>329</v>
      </c>
      <c r="C735" s="626"/>
      <c r="D735" s="626"/>
      <c r="E735" s="626"/>
      <c r="F735" s="626"/>
      <c r="G735" s="626"/>
      <c r="H735" s="627"/>
    </row>
    <row r="736" spans="1:8" ht="15" customHeight="1" x14ac:dyDescent="0.25">
      <c r="A736" s="139">
        <v>6629</v>
      </c>
      <c r="B736" s="626" t="s">
        <v>330</v>
      </c>
      <c r="C736" s="626"/>
      <c r="D736" s="626"/>
      <c r="E736" s="626"/>
      <c r="F736" s="626"/>
      <c r="G736" s="626"/>
      <c r="H736" s="627"/>
    </row>
    <row r="737" spans="1:8" ht="15" customHeight="1" x14ac:dyDescent="0.25">
      <c r="A737" s="139">
        <v>6630</v>
      </c>
      <c r="B737" s="626" t="s">
        <v>331</v>
      </c>
      <c r="C737" s="626"/>
      <c r="D737" s="626"/>
      <c r="E737" s="626"/>
      <c r="F737" s="626"/>
      <c r="G737" s="626"/>
      <c r="H737" s="627"/>
    </row>
    <row r="738" spans="1:8" ht="15" customHeight="1" x14ac:dyDescent="0.25">
      <c r="A738" s="139">
        <v>6810</v>
      </c>
      <c r="B738" s="626" t="s">
        <v>332</v>
      </c>
      <c r="C738" s="626"/>
      <c r="D738" s="626"/>
      <c r="E738" s="626"/>
      <c r="F738" s="626"/>
      <c r="G738" s="626"/>
      <c r="H738" s="627"/>
    </row>
    <row r="739" spans="1:8" ht="15" customHeight="1" x14ac:dyDescent="0.25">
      <c r="A739" s="139">
        <v>6820</v>
      </c>
      <c r="B739" s="626" t="s">
        <v>333</v>
      </c>
      <c r="C739" s="626"/>
      <c r="D739" s="626"/>
      <c r="E739" s="626"/>
      <c r="F739" s="626"/>
      <c r="G739" s="626"/>
      <c r="H739" s="627"/>
    </row>
    <row r="740" spans="1:8" ht="15" customHeight="1" x14ac:dyDescent="0.25">
      <c r="A740" s="139">
        <v>6831</v>
      </c>
      <c r="B740" s="626" t="s">
        <v>334</v>
      </c>
      <c r="C740" s="626"/>
      <c r="D740" s="626"/>
      <c r="E740" s="626"/>
      <c r="F740" s="626"/>
      <c r="G740" s="626"/>
      <c r="H740" s="627"/>
    </row>
    <row r="741" spans="1:8" ht="15" customHeight="1" x14ac:dyDescent="0.25">
      <c r="A741" s="139">
        <v>6832</v>
      </c>
      <c r="B741" s="626" t="s">
        <v>335</v>
      </c>
      <c r="C741" s="626"/>
      <c r="D741" s="626"/>
      <c r="E741" s="626"/>
      <c r="F741" s="626"/>
      <c r="G741" s="626"/>
      <c r="H741" s="627"/>
    </row>
    <row r="742" spans="1:8" ht="15" customHeight="1" x14ac:dyDescent="0.25">
      <c r="A742" s="139">
        <v>6910</v>
      </c>
      <c r="B742" s="626" t="s">
        <v>336</v>
      </c>
      <c r="C742" s="626"/>
      <c r="D742" s="626"/>
      <c r="E742" s="626"/>
      <c r="F742" s="626"/>
      <c r="G742" s="626"/>
      <c r="H742" s="627"/>
    </row>
    <row r="743" spans="1:8" ht="15" customHeight="1" x14ac:dyDescent="0.25">
      <c r="A743" s="139">
        <v>6920</v>
      </c>
      <c r="B743" s="626" t="s">
        <v>337</v>
      </c>
      <c r="C743" s="626"/>
      <c r="D743" s="626"/>
      <c r="E743" s="626"/>
      <c r="F743" s="626"/>
      <c r="G743" s="626"/>
      <c r="H743" s="627"/>
    </row>
    <row r="744" spans="1:8" ht="15" customHeight="1" x14ac:dyDescent="0.25">
      <c r="A744" s="139">
        <v>7010</v>
      </c>
      <c r="B744" s="626" t="s">
        <v>4228</v>
      </c>
      <c r="C744" s="626"/>
      <c r="D744" s="626"/>
      <c r="E744" s="626"/>
      <c r="F744" s="626"/>
      <c r="G744" s="626"/>
      <c r="H744" s="627"/>
    </row>
    <row r="745" spans="1:8" ht="15" customHeight="1" x14ac:dyDescent="0.25">
      <c r="A745" s="139">
        <v>7021</v>
      </c>
      <c r="B745" s="626" t="s">
        <v>2925</v>
      </c>
      <c r="C745" s="626"/>
      <c r="D745" s="626"/>
      <c r="E745" s="626"/>
      <c r="F745" s="626"/>
      <c r="G745" s="626"/>
      <c r="H745" s="627"/>
    </row>
    <row r="746" spans="1:8" ht="15" customHeight="1" x14ac:dyDescent="0.25">
      <c r="A746" s="139">
        <v>7022</v>
      </c>
      <c r="B746" s="626" t="s">
        <v>2926</v>
      </c>
      <c r="C746" s="626"/>
      <c r="D746" s="626"/>
      <c r="E746" s="626"/>
      <c r="F746" s="626"/>
      <c r="G746" s="626"/>
      <c r="H746" s="627"/>
    </row>
    <row r="747" spans="1:8" ht="15" customHeight="1" x14ac:dyDescent="0.25">
      <c r="A747" s="139">
        <v>7111</v>
      </c>
      <c r="B747" s="626" t="s">
        <v>2927</v>
      </c>
      <c r="C747" s="626"/>
      <c r="D747" s="626"/>
      <c r="E747" s="626"/>
      <c r="F747" s="626"/>
      <c r="G747" s="626"/>
      <c r="H747" s="627"/>
    </row>
    <row r="748" spans="1:8" ht="15" customHeight="1" x14ac:dyDescent="0.25">
      <c r="A748" s="139">
        <v>7112</v>
      </c>
      <c r="B748" s="626" t="s">
        <v>2928</v>
      </c>
      <c r="C748" s="626"/>
      <c r="D748" s="626"/>
      <c r="E748" s="626"/>
      <c r="F748" s="626"/>
      <c r="G748" s="626"/>
      <c r="H748" s="627"/>
    </row>
    <row r="749" spans="1:8" ht="15" customHeight="1" x14ac:dyDescent="0.25">
      <c r="A749" s="139">
        <v>7120</v>
      </c>
      <c r="B749" s="626" t="s">
        <v>1260</v>
      </c>
      <c r="C749" s="626"/>
      <c r="D749" s="626"/>
      <c r="E749" s="626"/>
      <c r="F749" s="626"/>
      <c r="G749" s="626"/>
      <c r="H749" s="627"/>
    </row>
    <row r="750" spans="1:8" ht="15" customHeight="1" x14ac:dyDescent="0.25">
      <c r="A750" s="139">
        <v>7211</v>
      </c>
      <c r="B750" s="626" t="s">
        <v>2929</v>
      </c>
      <c r="C750" s="626"/>
      <c r="D750" s="626"/>
      <c r="E750" s="626"/>
      <c r="F750" s="626"/>
      <c r="G750" s="626"/>
      <c r="H750" s="627"/>
    </row>
    <row r="751" spans="1:8" ht="15" customHeight="1" x14ac:dyDescent="0.25">
      <c r="A751" s="139">
        <v>7219</v>
      </c>
      <c r="B751" s="626" t="s">
        <v>2930</v>
      </c>
      <c r="C751" s="626"/>
      <c r="D751" s="626"/>
      <c r="E751" s="626"/>
      <c r="F751" s="626"/>
      <c r="G751" s="626"/>
      <c r="H751" s="627"/>
    </row>
    <row r="752" spans="1:8" ht="15" customHeight="1" x14ac:dyDescent="0.25">
      <c r="A752" s="139">
        <v>7220</v>
      </c>
      <c r="B752" s="626" t="s">
        <v>2931</v>
      </c>
      <c r="C752" s="626"/>
      <c r="D752" s="626"/>
      <c r="E752" s="626"/>
      <c r="F752" s="626"/>
      <c r="G752" s="626"/>
      <c r="H752" s="627"/>
    </row>
    <row r="753" spans="1:8" ht="15" customHeight="1" x14ac:dyDescent="0.25">
      <c r="A753" s="139">
        <v>7311</v>
      </c>
      <c r="B753" s="626" t="s">
        <v>2932</v>
      </c>
      <c r="C753" s="626"/>
      <c r="D753" s="626"/>
      <c r="E753" s="626"/>
      <c r="F753" s="626"/>
      <c r="G753" s="626"/>
      <c r="H753" s="627"/>
    </row>
    <row r="754" spans="1:8" ht="15" customHeight="1" x14ac:dyDescent="0.25">
      <c r="A754" s="139">
        <v>7312</v>
      </c>
      <c r="B754" s="626" t="s">
        <v>1481</v>
      </c>
      <c r="C754" s="626"/>
      <c r="D754" s="626"/>
      <c r="E754" s="626"/>
      <c r="F754" s="626"/>
      <c r="G754" s="626"/>
      <c r="H754" s="627"/>
    </row>
    <row r="755" spans="1:8" ht="15" customHeight="1" x14ac:dyDescent="0.25">
      <c r="A755" s="139">
        <v>7320</v>
      </c>
      <c r="B755" s="626" t="s">
        <v>1482</v>
      </c>
      <c r="C755" s="626"/>
      <c r="D755" s="626"/>
      <c r="E755" s="626"/>
      <c r="F755" s="626"/>
      <c r="G755" s="626"/>
      <c r="H755" s="627"/>
    </row>
    <row r="756" spans="1:8" ht="15" customHeight="1" x14ac:dyDescent="0.25">
      <c r="A756" s="139">
        <v>7410</v>
      </c>
      <c r="B756" s="626" t="s">
        <v>1483</v>
      </c>
      <c r="C756" s="626"/>
      <c r="D756" s="626"/>
      <c r="E756" s="626"/>
      <c r="F756" s="626"/>
      <c r="G756" s="626"/>
      <c r="H756" s="627"/>
    </row>
    <row r="757" spans="1:8" ht="15" customHeight="1" x14ac:dyDescent="0.25">
      <c r="A757" s="139">
        <v>7420</v>
      </c>
      <c r="B757" s="626" t="s">
        <v>1261</v>
      </c>
      <c r="C757" s="626"/>
      <c r="D757" s="626"/>
      <c r="E757" s="626"/>
      <c r="F757" s="626"/>
      <c r="G757" s="626"/>
      <c r="H757" s="627"/>
    </row>
    <row r="758" spans="1:8" ht="15" customHeight="1" x14ac:dyDescent="0.25">
      <c r="A758" s="139">
        <v>7430</v>
      </c>
      <c r="B758" s="626" t="s">
        <v>1484</v>
      </c>
      <c r="C758" s="626"/>
      <c r="D758" s="626"/>
      <c r="E758" s="626"/>
      <c r="F758" s="626"/>
      <c r="G758" s="626"/>
      <c r="H758" s="627"/>
    </row>
    <row r="759" spans="1:8" ht="15" customHeight="1" x14ac:dyDescent="0.25">
      <c r="A759" s="139">
        <v>7490</v>
      </c>
      <c r="B759" s="626" t="s">
        <v>1485</v>
      </c>
      <c r="C759" s="626"/>
      <c r="D759" s="626"/>
      <c r="E759" s="626"/>
      <c r="F759" s="626"/>
      <c r="G759" s="626"/>
      <c r="H759" s="627"/>
    </row>
    <row r="760" spans="1:8" ht="15" customHeight="1" x14ac:dyDescent="0.25">
      <c r="A760" s="139">
        <v>7500</v>
      </c>
      <c r="B760" s="626" t="s">
        <v>4490</v>
      </c>
      <c r="C760" s="626"/>
      <c r="D760" s="626"/>
      <c r="E760" s="626"/>
      <c r="F760" s="626"/>
      <c r="G760" s="626"/>
      <c r="H760" s="627"/>
    </row>
    <row r="761" spans="1:8" ht="15" customHeight="1" x14ac:dyDescent="0.25">
      <c r="A761" s="139">
        <v>7711</v>
      </c>
      <c r="B761" s="626" t="s">
        <v>1086</v>
      </c>
      <c r="C761" s="626"/>
      <c r="D761" s="626"/>
      <c r="E761" s="626"/>
      <c r="F761" s="626"/>
      <c r="G761" s="626"/>
      <c r="H761" s="627"/>
    </row>
    <row r="762" spans="1:8" ht="15" customHeight="1" x14ac:dyDescent="0.25">
      <c r="A762" s="139">
        <v>7712</v>
      </c>
      <c r="B762" s="626" t="s">
        <v>1087</v>
      </c>
      <c r="C762" s="626"/>
      <c r="D762" s="626"/>
      <c r="E762" s="626"/>
      <c r="F762" s="626"/>
      <c r="G762" s="626"/>
      <c r="H762" s="627"/>
    </row>
    <row r="763" spans="1:8" ht="15" customHeight="1" x14ac:dyDescent="0.25">
      <c r="A763" s="139">
        <v>7721</v>
      </c>
      <c r="B763" s="626" t="s">
        <v>4059</v>
      </c>
      <c r="C763" s="626"/>
      <c r="D763" s="626"/>
      <c r="E763" s="626"/>
      <c r="F763" s="626"/>
      <c r="G763" s="626"/>
      <c r="H763" s="627"/>
    </row>
    <row r="764" spans="1:8" ht="15" customHeight="1" x14ac:dyDescent="0.25">
      <c r="A764" s="139">
        <v>7722</v>
      </c>
      <c r="B764" s="626" t="s">
        <v>4060</v>
      </c>
      <c r="C764" s="626"/>
      <c r="D764" s="626"/>
      <c r="E764" s="626"/>
      <c r="F764" s="626"/>
      <c r="G764" s="626"/>
      <c r="H764" s="627"/>
    </row>
    <row r="765" spans="1:8" ht="15" customHeight="1" x14ac:dyDescent="0.25">
      <c r="A765" s="139">
        <v>7729</v>
      </c>
      <c r="B765" s="626" t="s">
        <v>4061</v>
      </c>
      <c r="C765" s="626"/>
      <c r="D765" s="626"/>
      <c r="E765" s="626"/>
      <c r="F765" s="626"/>
      <c r="G765" s="626"/>
      <c r="H765" s="627"/>
    </row>
    <row r="766" spans="1:8" ht="15" customHeight="1" x14ac:dyDescent="0.25">
      <c r="A766" s="139">
        <v>7731</v>
      </c>
      <c r="B766" s="626" t="s">
        <v>4062</v>
      </c>
      <c r="C766" s="626"/>
      <c r="D766" s="626"/>
      <c r="E766" s="626"/>
      <c r="F766" s="626"/>
      <c r="G766" s="626"/>
      <c r="H766" s="627"/>
    </row>
    <row r="767" spans="1:8" ht="15" customHeight="1" x14ac:dyDescent="0.25">
      <c r="A767" s="139">
        <v>7732</v>
      </c>
      <c r="B767" s="626" t="s">
        <v>4063</v>
      </c>
      <c r="C767" s="626"/>
      <c r="D767" s="626"/>
      <c r="E767" s="626"/>
      <c r="F767" s="626"/>
      <c r="G767" s="626"/>
      <c r="H767" s="627"/>
    </row>
    <row r="768" spans="1:8" ht="15" customHeight="1" x14ac:dyDescent="0.25">
      <c r="A768" s="139">
        <v>7733</v>
      </c>
      <c r="B768" s="626" t="s">
        <v>1308</v>
      </c>
      <c r="C768" s="626"/>
      <c r="D768" s="626"/>
      <c r="E768" s="626"/>
      <c r="F768" s="626"/>
      <c r="G768" s="626"/>
      <c r="H768" s="627"/>
    </row>
    <row r="769" spans="1:8" ht="15" customHeight="1" x14ac:dyDescent="0.25">
      <c r="A769" s="139">
        <v>7734</v>
      </c>
      <c r="B769" s="626" t="s">
        <v>1309</v>
      </c>
      <c r="C769" s="626"/>
      <c r="D769" s="626"/>
      <c r="E769" s="626"/>
      <c r="F769" s="626"/>
      <c r="G769" s="626"/>
      <c r="H769" s="627"/>
    </row>
    <row r="770" spans="1:8" ht="15" customHeight="1" x14ac:dyDescent="0.25">
      <c r="A770" s="139">
        <v>7735</v>
      </c>
      <c r="B770" s="626" t="s">
        <v>1310</v>
      </c>
      <c r="C770" s="626"/>
      <c r="D770" s="626"/>
      <c r="E770" s="626"/>
      <c r="F770" s="626"/>
      <c r="G770" s="626"/>
      <c r="H770" s="627"/>
    </row>
    <row r="771" spans="1:8" ht="15" customHeight="1" x14ac:dyDescent="0.25">
      <c r="A771" s="139">
        <v>7739</v>
      </c>
      <c r="B771" s="626" t="s">
        <v>1311</v>
      </c>
      <c r="C771" s="626"/>
      <c r="D771" s="626"/>
      <c r="E771" s="626"/>
      <c r="F771" s="626"/>
      <c r="G771" s="626"/>
      <c r="H771" s="627"/>
    </row>
    <row r="772" spans="1:8" ht="24.9" customHeight="1" x14ac:dyDescent="0.25">
      <c r="A772" s="139">
        <v>7740</v>
      </c>
      <c r="B772" s="626" t="s">
        <v>1312</v>
      </c>
      <c r="C772" s="626"/>
      <c r="D772" s="626"/>
      <c r="E772" s="626"/>
      <c r="F772" s="626"/>
      <c r="G772" s="626"/>
      <c r="H772" s="627"/>
    </row>
    <row r="773" spans="1:8" ht="15" customHeight="1" x14ac:dyDescent="0.25">
      <c r="A773" s="139">
        <v>7810</v>
      </c>
      <c r="B773" s="626" t="s">
        <v>1313</v>
      </c>
      <c r="C773" s="626"/>
      <c r="D773" s="626"/>
      <c r="E773" s="626"/>
      <c r="F773" s="626"/>
      <c r="G773" s="626"/>
      <c r="H773" s="627"/>
    </row>
    <row r="774" spans="1:8" ht="15" customHeight="1" x14ac:dyDescent="0.25">
      <c r="A774" s="139">
        <v>7820</v>
      </c>
      <c r="B774" s="626" t="s">
        <v>1314</v>
      </c>
      <c r="C774" s="626"/>
      <c r="D774" s="626"/>
      <c r="E774" s="626"/>
      <c r="F774" s="626"/>
      <c r="G774" s="626"/>
      <c r="H774" s="627"/>
    </row>
    <row r="775" spans="1:8" ht="15" customHeight="1" x14ac:dyDescent="0.25">
      <c r="A775" s="139">
        <v>7830</v>
      </c>
      <c r="B775" s="626" t="s">
        <v>1315</v>
      </c>
      <c r="C775" s="626"/>
      <c r="D775" s="626"/>
      <c r="E775" s="626"/>
      <c r="F775" s="626"/>
      <c r="G775" s="626"/>
      <c r="H775" s="627"/>
    </row>
    <row r="776" spans="1:8" ht="15" customHeight="1" x14ac:dyDescent="0.25">
      <c r="A776" s="139">
        <v>7911</v>
      </c>
      <c r="B776" s="626" t="s">
        <v>1316</v>
      </c>
      <c r="C776" s="626"/>
      <c r="D776" s="626"/>
      <c r="E776" s="626"/>
      <c r="F776" s="626"/>
      <c r="G776" s="626"/>
      <c r="H776" s="627"/>
    </row>
    <row r="777" spans="1:8" ht="15" customHeight="1" x14ac:dyDescent="0.25">
      <c r="A777" s="139">
        <v>7912</v>
      </c>
      <c r="B777" s="626" t="s">
        <v>1317</v>
      </c>
      <c r="C777" s="626"/>
      <c r="D777" s="626"/>
      <c r="E777" s="626"/>
      <c r="F777" s="626"/>
      <c r="G777" s="626"/>
      <c r="H777" s="627"/>
    </row>
    <row r="778" spans="1:8" ht="15" customHeight="1" x14ac:dyDescent="0.25">
      <c r="A778" s="139">
        <v>7990</v>
      </c>
      <c r="B778" s="626" t="s">
        <v>1318</v>
      </c>
      <c r="C778" s="626"/>
      <c r="D778" s="626"/>
      <c r="E778" s="626"/>
      <c r="F778" s="626"/>
      <c r="G778" s="626"/>
      <c r="H778" s="627"/>
    </row>
    <row r="779" spans="1:8" ht="15" customHeight="1" x14ac:dyDescent="0.25">
      <c r="A779" s="139">
        <v>8010</v>
      </c>
      <c r="B779" s="626" t="s">
        <v>1319</v>
      </c>
      <c r="C779" s="626"/>
      <c r="D779" s="626"/>
      <c r="E779" s="626"/>
      <c r="F779" s="626"/>
      <c r="G779" s="626"/>
      <c r="H779" s="627"/>
    </row>
    <row r="780" spans="1:8" ht="15" customHeight="1" x14ac:dyDescent="0.25">
      <c r="A780" s="139">
        <v>8020</v>
      </c>
      <c r="B780" s="626" t="s">
        <v>1320</v>
      </c>
      <c r="C780" s="626"/>
      <c r="D780" s="626"/>
      <c r="E780" s="626"/>
      <c r="F780" s="626"/>
      <c r="G780" s="626"/>
      <c r="H780" s="627"/>
    </row>
    <row r="781" spans="1:8" ht="15" customHeight="1" x14ac:dyDescent="0.25">
      <c r="A781" s="139">
        <v>8030</v>
      </c>
      <c r="B781" s="626" t="s">
        <v>1321</v>
      </c>
      <c r="C781" s="626"/>
      <c r="D781" s="626"/>
      <c r="E781" s="626"/>
      <c r="F781" s="626"/>
      <c r="G781" s="626"/>
      <c r="H781" s="627"/>
    </row>
    <row r="782" spans="1:8" ht="15" customHeight="1" x14ac:dyDescent="0.25">
      <c r="A782" s="139">
        <v>8110</v>
      </c>
      <c r="B782" s="626" t="s">
        <v>1322</v>
      </c>
      <c r="C782" s="626"/>
      <c r="D782" s="626"/>
      <c r="E782" s="626"/>
      <c r="F782" s="626"/>
      <c r="G782" s="626"/>
      <c r="H782" s="627"/>
    </row>
    <row r="783" spans="1:8" ht="15" customHeight="1" x14ac:dyDescent="0.25">
      <c r="A783" s="139">
        <v>8121</v>
      </c>
      <c r="B783" s="626" t="s">
        <v>1323</v>
      </c>
      <c r="C783" s="626"/>
      <c r="D783" s="626"/>
      <c r="E783" s="626"/>
      <c r="F783" s="626"/>
      <c r="G783" s="626"/>
      <c r="H783" s="627"/>
    </row>
    <row r="784" spans="1:8" ht="15" customHeight="1" x14ac:dyDescent="0.25">
      <c r="A784" s="139">
        <v>8122</v>
      </c>
      <c r="B784" s="626" t="s">
        <v>1324</v>
      </c>
      <c r="C784" s="626"/>
      <c r="D784" s="626"/>
      <c r="E784" s="626"/>
      <c r="F784" s="626"/>
      <c r="G784" s="626"/>
      <c r="H784" s="627"/>
    </row>
    <row r="785" spans="1:8" ht="15" customHeight="1" x14ac:dyDescent="0.25">
      <c r="A785" s="139">
        <v>8129</v>
      </c>
      <c r="B785" s="626" t="s">
        <v>3212</v>
      </c>
      <c r="C785" s="626"/>
      <c r="D785" s="626"/>
      <c r="E785" s="626"/>
      <c r="F785" s="626"/>
      <c r="G785" s="626"/>
      <c r="H785" s="627"/>
    </row>
    <row r="786" spans="1:8" ht="15" customHeight="1" x14ac:dyDescent="0.25">
      <c r="A786" s="139">
        <v>8130</v>
      </c>
      <c r="B786" s="626" t="s">
        <v>3213</v>
      </c>
      <c r="C786" s="626"/>
      <c r="D786" s="626"/>
      <c r="E786" s="626"/>
      <c r="F786" s="626"/>
      <c r="G786" s="626"/>
      <c r="H786" s="627"/>
    </row>
    <row r="787" spans="1:8" ht="15" customHeight="1" x14ac:dyDescent="0.25">
      <c r="A787" s="139">
        <v>8211</v>
      </c>
      <c r="B787" s="626" t="s">
        <v>3214</v>
      </c>
      <c r="C787" s="626"/>
      <c r="D787" s="626"/>
      <c r="E787" s="626"/>
      <c r="F787" s="626"/>
      <c r="G787" s="626"/>
      <c r="H787" s="627"/>
    </row>
    <row r="788" spans="1:8" ht="15" customHeight="1" x14ac:dyDescent="0.25">
      <c r="A788" s="139">
        <v>8219</v>
      </c>
      <c r="B788" s="626" t="s">
        <v>3215</v>
      </c>
      <c r="C788" s="626"/>
      <c r="D788" s="626"/>
      <c r="E788" s="626"/>
      <c r="F788" s="626"/>
      <c r="G788" s="626"/>
      <c r="H788" s="627"/>
    </row>
    <row r="789" spans="1:8" ht="15" customHeight="1" x14ac:dyDescent="0.25">
      <c r="A789" s="139">
        <v>8220</v>
      </c>
      <c r="B789" s="626" t="s">
        <v>1263</v>
      </c>
      <c r="C789" s="626"/>
      <c r="D789" s="626"/>
      <c r="E789" s="626"/>
      <c r="F789" s="626"/>
      <c r="G789" s="626"/>
      <c r="H789" s="627"/>
    </row>
    <row r="790" spans="1:8" ht="15" customHeight="1" x14ac:dyDescent="0.25">
      <c r="A790" s="139">
        <v>8230</v>
      </c>
      <c r="B790" s="626" t="s">
        <v>3216</v>
      </c>
      <c r="C790" s="626"/>
      <c r="D790" s="626"/>
      <c r="E790" s="626"/>
      <c r="F790" s="626"/>
      <c r="G790" s="626"/>
      <c r="H790" s="627"/>
    </row>
    <row r="791" spans="1:8" ht="15" customHeight="1" x14ac:dyDescent="0.25">
      <c r="A791" s="139">
        <v>8291</v>
      </c>
      <c r="B791" s="626" t="s">
        <v>1499</v>
      </c>
      <c r="C791" s="626"/>
      <c r="D791" s="626"/>
      <c r="E791" s="626"/>
      <c r="F791" s="626"/>
      <c r="G791" s="626"/>
      <c r="H791" s="627"/>
    </row>
    <row r="792" spans="1:8" ht="15" customHeight="1" x14ac:dyDescent="0.25">
      <c r="A792" s="139">
        <v>8292</v>
      </c>
      <c r="B792" s="626" t="s">
        <v>1262</v>
      </c>
      <c r="C792" s="626"/>
      <c r="D792" s="626"/>
      <c r="E792" s="626"/>
      <c r="F792" s="626"/>
      <c r="G792" s="626"/>
      <c r="H792" s="627"/>
    </row>
    <row r="793" spans="1:8" ht="15" customHeight="1" x14ac:dyDescent="0.25">
      <c r="A793" s="139">
        <v>8299</v>
      </c>
      <c r="B793" s="626" t="s">
        <v>1500</v>
      </c>
      <c r="C793" s="626"/>
      <c r="D793" s="626"/>
      <c r="E793" s="626"/>
      <c r="F793" s="626"/>
      <c r="G793" s="626"/>
      <c r="H793" s="627"/>
    </row>
    <row r="794" spans="1:8" ht="15" customHeight="1" x14ac:dyDescent="0.25">
      <c r="A794" s="139">
        <v>8411</v>
      </c>
      <c r="B794" s="626" t="s">
        <v>1501</v>
      </c>
      <c r="C794" s="626"/>
      <c r="D794" s="626"/>
      <c r="E794" s="626"/>
      <c r="F794" s="626"/>
      <c r="G794" s="626"/>
      <c r="H794" s="627"/>
    </row>
    <row r="795" spans="1:8" ht="24.9" customHeight="1" x14ac:dyDescent="0.25">
      <c r="A795" s="139">
        <v>8412</v>
      </c>
      <c r="B795" s="626" t="s">
        <v>1502</v>
      </c>
      <c r="C795" s="626"/>
      <c r="D795" s="626"/>
      <c r="E795" s="626"/>
      <c r="F795" s="626"/>
      <c r="G795" s="626"/>
      <c r="H795" s="627"/>
    </row>
    <row r="796" spans="1:8" ht="15" customHeight="1" x14ac:dyDescent="0.25">
      <c r="A796" s="139">
        <v>8413</v>
      </c>
      <c r="B796" s="626" t="s">
        <v>3991</v>
      </c>
      <c r="C796" s="626"/>
      <c r="D796" s="626"/>
      <c r="E796" s="626"/>
      <c r="F796" s="626"/>
      <c r="G796" s="626"/>
      <c r="H796" s="627"/>
    </row>
    <row r="797" spans="1:8" ht="15" customHeight="1" x14ac:dyDescent="0.25">
      <c r="A797" s="139">
        <v>8421</v>
      </c>
      <c r="B797" s="626" t="s">
        <v>4485</v>
      </c>
      <c r="C797" s="626"/>
      <c r="D797" s="626"/>
      <c r="E797" s="626"/>
      <c r="F797" s="626"/>
      <c r="G797" s="626"/>
      <c r="H797" s="627"/>
    </row>
    <row r="798" spans="1:8" ht="15" customHeight="1" x14ac:dyDescent="0.25">
      <c r="A798" s="139">
        <v>8422</v>
      </c>
      <c r="B798" s="626" t="s">
        <v>4486</v>
      </c>
      <c r="C798" s="626"/>
      <c r="D798" s="626"/>
      <c r="E798" s="626"/>
      <c r="F798" s="626"/>
      <c r="G798" s="626"/>
      <c r="H798" s="627"/>
    </row>
    <row r="799" spans="1:8" ht="15" customHeight="1" x14ac:dyDescent="0.25">
      <c r="A799" s="139">
        <v>8423</v>
      </c>
      <c r="B799" s="626" t="s">
        <v>4487</v>
      </c>
      <c r="C799" s="626"/>
      <c r="D799" s="626"/>
      <c r="E799" s="626"/>
      <c r="F799" s="626"/>
      <c r="G799" s="626"/>
      <c r="H799" s="627"/>
    </row>
    <row r="800" spans="1:8" ht="15" customHeight="1" x14ac:dyDescent="0.25">
      <c r="A800" s="139">
        <v>8424</v>
      </c>
      <c r="B800" s="626" t="s">
        <v>3992</v>
      </c>
      <c r="C800" s="626"/>
      <c r="D800" s="626"/>
      <c r="E800" s="626"/>
      <c r="F800" s="626"/>
      <c r="G800" s="626"/>
      <c r="H800" s="627"/>
    </row>
    <row r="801" spans="1:8" ht="15" customHeight="1" x14ac:dyDescent="0.25">
      <c r="A801" s="139">
        <v>8425</v>
      </c>
      <c r="B801" s="626" t="s">
        <v>3993</v>
      </c>
      <c r="C801" s="626"/>
      <c r="D801" s="626"/>
      <c r="E801" s="626"/>
      <c r="F801" s="626"/>
      <c r="G801" s="626"/>
      <c r="H801" s="627"/>
    </row>
    <row r="802" spans="1:8" ht="15" customHeight="1" x14ac:dyDescent="0.25">
      <c r="A802" s="139">
        <v>8430</v>
      </c>
      <c r="B802" s="626" t="s">
        <v>3994</v>
      </c>
      <c r="C802" s="626"/>
      <c r="D802" s="626"/>
      <c r="E802" s="626"/>
      <c r="F802" s="626"/>
      <c r="G802" s="626"/>
      <c r="H802" s="627"/>
    </row>
    <row r="803" spans="1:8" ht="15" customHeight="1" x14ac:dyDescent="0.25">
      <c r="A803" s="139">
        <v>8510</v>
      </c>
      <c r="B803" s="626" t="s">
        <v>4488</v>
      </c>
      <c r="C803" s="626"/>
      <c r="D803" s="626"/>
      <c r="E803" s="626"/>
      <c r="F803" s="626"/>
      <c r="G803" s="626"/>
      <c r="H803" s="627"/>
    </row>
    <row r="804" spans="1:8" ht="15" customHeight="1" x14ac:dyDescent="0.25">
      <c r="A804" s="139">
        <v>8520</v>
      </c>
      <c r="B804" s="626" t="s">
        <v>4489</v>
      </c>
      <c r="C804" s="626"/>
      <c r="D804" s="626"/>
      <c r="E804" s="626"/>
      <c r="F804" s="626"/>
      <c r="G804" s="626"/>
      <c r="H804" s="627"/>
    </row>
    <row r="805" spans="1:8" ht="15" customHeight="1" x14ac:dyDescent="0.25">
      <c r="A805" s="139">
        <v>8531</v>
      </c>
      <c r="B805" s="626" t="s">
        <v>3995</v>
      </c>
      <c r="C805" s="626"/>
      <c r="D805" s="626"/>
      <c r="E805" s="626"/>
      <c r="F805" s="626"/>
      <c r="G805" s="626"/>
      <c r="H805" s="627"/>
    </row>
    <row r="806" spans="1:8" ht="15" customHeight="1" x14ac:dyDescent="0.25">
      <c r="A806" s="139">
        <v>8532</v>
      </c>
      <c r="B806" s="626" t="s">
        <v>3996</v>
      </c>
      <c r="C806" s="626"/>
      <c r="D806" s="626"/>
      <c r="E806" s="626"/>
      <c r="F806" s="626"/>
      <c r="G806" s="626"/>
      <c r="H806" s="627"/>
    </row>
    <row r="807" spans="1:8" ht="15" customHeight="1" x14ac:dyDescent="0.25">
      <c r="A807" s="139">
        <v>8541</v>
      </c>
      <c r="B807" s="626" t="s">
        <v>3997</v>
      </c>
      <c r="C807" s="626"/>
      <c r="D807" s="626"/>
      <c r="E807" s="626"/>
      <c r="F807" s="626"/>
      <c r="G807" s="626"/>
      <c r="H807" s="627"/>
    </row>
    <row r="808" spans="1:8" ht="15" customHeight="1" x14ac:dyDescent="0.25">
      <c r="A808" s="139">
        <v>8542</v>
      </c>
      <c r="B808" s="626" t="s">
        <v>3998</v>
      </c>
      <c r="C808" s="626"/>
      <c r="D808" s="626"/>
      <c r="E808" s="626"/>
      <c r="F808" s="626"/>
      <c r="G808" s="626"/>
      <c r="H808" s="627"/>
    </row>
    <row r="809" spans="1:8" ht="15" customHeight="1" x14ac:dyDescent="0.25">
      <c r="A809" s="139">
        <v>8551</v>
      </c>
      <c r="B809" s="626" t="s">
        <v>3999</v>
      </c>
      <c r="C809" s="626"/>
      <c r="D809" s="626"/>
      <c r="E809" s="626"/>
      <c r="F809" s="626"/>
      <c r="G809" s="626"/>
      <c r="H809" s="627"/>
    </row>
    <row r="810" spans="1:8" ht="15" customHeight="1" x14ac:dyDescent="0.25">
      <c r="A810" s="139">
        <v>8552</v>
      </c>
      <c r="B810" s="626" t="s">
        <v>4000</v>
      </c>
      <c r="C810" s="626"/>
      <c r="D810" s="626"/>
      <c r="E810" s="626"/>
      <c r="F810" s="626"/>
      <c r="G810" s="626"/>
      <c r="H810" s="627"/>
    </row>
    <row r="811" spans="1:8" ht="15" customHeight="1" x14ac:dyDescent="0.25">
      <c r="A811" s="139">
        <v>8553</v>
      </c>
      <c r="B811" s="626" t="s">
        <v>4001</v>
      </c>
      <c r="C811" s="626"/>
      <c r="D811" s="626"/>
      <c r="E811" s="626"/>
      <c r="F811" s="626"/>
      <c r="G811" s="626"/>
      <c r="H811" s="627"/>
    </row>
    <row r="812" spans="1:8" ht="15" customHeight="1" x14ac:dyDescent="0.25">
      <c r="A812" s="139">
        <v>8559</v>
      </c>
      <c r="B812" s="626" t="s">
        <v>4002</v>
      </c>
      <c r="C812" s="626"/>
      <c r="D812" s="626"/>
      <c r="E812" s="626"/>
      <c r="F812" s="626"/>
      <c r="G812" s="626"/>
      <c r="H812" s="627"/>
    </row>
    <row r="813" spans="1:8" ht="15" customHeight="1" x14ac:dyDescent="0.25">
      <c r="A813" s="139">
        <v>8560</v>
      </c>
      <c r="B813" s="626" t="s">
        <v>4003</v>
      </c>
      <c r="C813" s="626"/>
      <c r="D813" s="626"/>
      <c r="E813" s="626"/>
      <c r="F813" s="626"/>
      <c r="G813" s="626"/>
      <c r="H813" s="627"/>
    </row>
    <row r="814" spans="1:8" ht="15" customHeight="1" x14ac:dyDescent="0.25">
      <c r="A814" s="139">
        <v>8610</v>
      </c>
      <c r="B814" s="626" t="s">
        <v>4004</v>
      </c>
      <c r="C814" s="626"/>
      <c r="D814" s="626"/>
      <c r="E814" s="626"/>
      <c r="F814" s="626"/>
      <c r="G814" s="626"/>
      <c r="H814" s="627"/>
    </row>
    <row r="815" spans="1:8" ht="15" customHeight="1" x14ac:dyDescent="0.25">
      <c r="A815" s="139">
        <v>8621</v>
      </c>
      <c r="B815" s="626" t="s">
        <v>4005</v>
      </c>
      <c r="C815" s="626"/>
      <c r="D815" s="626"/>
      <c r="E815" s="626"/>
      <c r="F815" s="626"/>
      <c r="G815" s="626"/>
      <c r="H815" s="627"/>
    </row>
    <row r="816" spans="1:8" ht="15" customHeight="1" x14ac:dyDescent="0.25">
      <c r="A816" s="139">
        <v>8622</v>
      </c>
      <c r="B816" s="626" t="s">
        <v>2312</v>
      </c>
      <c r="C816" s="626"/>
      <c r="D816" s="626"/>
      <c r="E816" s="626"/>
      <c r="F816" s="626"/>
      <c r="G816" s="626"/>
      <c r="H816" s="627"/>
    </row>
    <row r="817" spans="1:8" ht="15" customHeight="1" x14ac:dyDescent="0.25">
      <c r="A817" s="139">
        <v>8623</v>
      </c>
      <c r="B817" s="626" t="s">
        <v>2313</v>
      </c>
      <c r="C817" s="626"/>
      <c r="D817" s="626"/>
      <c r="E817" s="626"/>
      <c r="F817" s="626"/>
      <c r="G817" s="626"/>
      <c r="H817" s="627"/>
    </row>
    <row r="818" spans="1:8" ht="15" customHeight="1" x14ac:dyDescent="0.25">
      <c r="A818" s="139">
        <v>8690</v>
      </c>
      <c r="B818" s="626" t="s">
        <v>2314</v>
      </c>
      <c r="C818" s="626"/>
      <c r="D818" s="626"/>
      <c r="E818" s="626"/>
      <c r="F818" s="626"/>
      <c r="G818" s="626"/>
      <c r="H818" s="627"/>
    </row>
    <row r="819" spans="1:8" ht="15" customHeight="1" x14ac:dyDescent="0.25">
      <c r="A819" s="139">
        <v>8710</v>
      </c>
      <c r="B819" s="626" t="s">
        <v>2315</v>
      </c>
      <c r="C819" s="626"/>
      <c r="D819" s="626"/>
      <c r="E819" s="626"/>
      <c r="F819" s="626"/>
      <c r="G819" s="626"/>
      <c r="H819" s="627"/>
    </row>
    <row r="820" spans="1:8" ht="24.9" customHeight="1" x14ac:dyDescent="0.25">
      <c r="A820" s="139">
        <v>8720</v>
      </c>
      <c r="B820" s="626" t="s">
        <v>2316</v>
      </c>
      <c r="C820" s="626"/>
      <c r="D820" s="626"/>
      <c r="E820" s="626"/>
      <c r="F820" s="626"/>
      <c r="G820" s="626"/>
      <c r="H820" s="627"/>
    </row>
    <row r="821" spans="1:8" ht="15" customHeight="1" x14ac:dyDescent="0.25">
      <c r="A821" s="139">
        <v>8730</v>
      </c>
      <c r="B821" s="626" t="s">
        <v>2317</v>
      </c>
      <c r="C821" s="626"/>
      <c r="D821" s="626"/>
      <c r="E821" s="626"/>
      <c r="F821" s="626"/>
      <c r="G821" s="626"/>
      <c r="H821" s="627"/>
    </row>
    <row r="822" spans="1:8" ht="15" customHeight="1" x14ac:dyDescent="0.25">
      <c r="A822" s="139">
        <v>8790</v>
      </c>
      <c r="B822" s="626" t="s">
        <v>3708</v>
      </c>
      <c r="C822" s="626"/>
      <c r="D822" s="626"/>
      <c r="E822" s="626"/>
      <c r="F822" s="626"/>
      <c r="G822" s="626"/>
      <c r="H822" s="627"/>
    </row>
    <row r="823" spans="1:8" ht="15" customHeight="1" x14ac:dyDescent="0.25">
      <c r="A823" s="139">
        <v>8810</v>
      </c>
      <c r="B823" s="626" t="s">
        <v>3709</v>
      </c>
      <c r="C823" s="626"/>
      <c r="D823" s="626"/>
      <c r="E823" s="626"/>
      <c r="F823" s="626"/>
      <c r="G823" s="626"/>
      <c r="H823" s="627"/>
    </row>
    <row r="824" spans="1:8" ht="15" customHeight="1" x14ac:dyDescent="0.25">
      <c r="A824" s="139">
        <v>8891</v>
      </c>
      <c r="B824" s="626" t="s">
        <v>584</v>
      </c>
      <c r="C824" s="626"/>
      <c r="D824" s="626"/>
      <c r="E824" s="626"/>
      <c r="F824" s="626"/>
      <c r="G824" s="626"/>
      <c r="H824" s="627"/>
    </row>
    <row r="825" spans="1:8" ht="15" customHeight="1" x14ac:dyDescent="0.25">
      <c r="A825" s="139">
        <v>8899</v>
      </c>
      <c r="B825" s="626" t="s">
        <v>585</v>
      </c>
      <c r="C825" s="626"/>
      <c r="D825" s="626"/>
      <c r="E825" s="626"/>
      <c r="F825" s="626"/>
      <c r="G825" s="626"/>
      <c r="H825" s="627"/>
    </row>
    <row r="826" spans="1:8" ht="15" customHeight="1" x14ac:dyDescent="0.25">
      <c r="A826" s="139">
        <v>9001</v>
      </c>
      <c r="B826" s="626" t="s">
        <v>586</v>
      </c>
      <c r="C826" s="626"/>
      <c r="D826" s="626"/>
      <c r="E826" s="626"/>
      <c r="F826" s="626"/>
      <c r="G826" s="626"/>
      <c r="H826" s="627"/>
    </row>
    <row r="827" spans="1:8" ht="15" customHeight="1" x14ac:dyDescent="0.25">
      <c r="A827" s="139">
        <v>9002</v>
      </c>
      <c r="B827" s="626" t="s">
        <v>587</v>
      </c>
      <c r="C827" s="626"/>
      <c r="D827" s="626"/>
      <c r="E827" s="626"/>
      <c r="F827" s="626"/>
      <c r="G827" s="626"/>
      <c r="H827" s="627"/>
    </row>
    <row r="828" spans="1:8" ht="15" customHeight="1" x14ac:dyDescent="0.25">
      <c r="A828" s="139">
        <v>9003</v>
      </c>
      <c r="B828" s="626" t="s">
        <v>588</v>
      </c>
      <c r="C828" s="626"/>
      <c r="D828" s="626"/>
      <c r="E828" s="626"/>
      <c r="F828" s="626"/>
      <c r="G828" s="626"/>
      <c r="H828" s="627"/>
    </row>
    <row r="829" spans="1:8" ht="15" customHeight="1" x14ac:dyDescent="0.25">
      <c r="A829" s="139">
        <v>9004</v>
      </c>
      <c r="B829" s="626" t="s">
        <v>589</v>
      </c>
      <c r="C829" s="626"/>
      <c r="D829" s="626"/>
      <c r="E829" s="626"/>
      <c r="F829" s="626"/>
      <c r="G829" s="626"/>
      <c r="H829" s="627"/>
    </row>
    <row r="830" spans="1:8" ht="15" customHeight="1" x14ac:dyDescent="0.25">
      <c r="A830" s="139">
        <v>9101</v>
      </c>
      <c r="B830" s="626" t="s">
        <v>590</v>
      </c>
      <c r="C830" s="626"/>
      <c r="D830" s="626"/>
      <c r="E830" s="626"/>
      <c r="F830" s="626"/>
      <c r="G830" s="626"/>
      <c r="H830" s="627"/>
    </row>
    <row r="831" spans="1:8" ht="15" customHeight="1" x14ac:dyDescent="0.25">
      <c r="A831" s="139">
        <v>9102</v>
      </c>
      <c r="B831" s="626" t="s">
        <v>591</v>
      </c>
      <c r="C831" s="626"/>
      <c r="D831" s="626"/>
      <c r="E831" s="626"/>
      <c r="F831" s="626"/>
      <c r="G831" s="626"/>
      <c r="H831" s="627"/>
    </row>
    <row r="832" spans="1:8" ht="15" customHeight="1" x14ac:dyDescent="0.25">
      <c r="A832" s="139">
        <v>9103</v>
      </c>
      <c r="B832" s="626" t="s">
        <v>592</v>
      </c>
      <c r="C832" s="626"/>
      <c r="D832" s="626"/>
      <c r="E832" s="626"/>
      <c r="F832" s="626"/>
      <c r="G832" s="626"/>
      <c r="H832" s="627"/>
    </row>
    <row r="833" spans="1:8" ht="15" customHeight="1" x14ac:dyDescent="0.25">
      <c r="A833" s="139">
        <v>9104</v>
      </c>
      <c r="B833" s="626" t="s">
        <v>593</v>
      </c>
      <c r="C833" s="626"/>
      <c r="D833" s="626"/>
      <c r="E833" s="626"/>
      <c r="F833" s="626"/>
      <c r="G833" s="626"/>
      <c r="H833" s="627"/>
    </row>
    <row r="834" spans="1:8" ht="15" customHeight="1" x14ac:dyDescent="0.25">
      <c r="A834" s="139">
        <v>9200</v>
      </c>
      <c r="B834" s="626" t="s">
        <v>594</v>
      </c>
      <c r="C834" s="626"/>
      <c r="D834" s="626"/>
      <c r="E834" s="626"/>
      <c r="F834" s="626"/>
      <c r="G834" s="626"/>
      <c r="H834" s="627"/>
    </row>
    <row r="835" spans="1:8" ht="15" customHeight="1" x14ac:dyDescent="0.25">
      <c r="A835" s="139">
        <v>9311</v>
      </c>
      <c r="B835" s="626" t="s">
        <v>595</v>
      </c>
      <c r="C835" s="626"/>
      <c r="D835" s="626"/>
      <c r="E835" s="626"/>
      <c r="F835" s="626"/>
      <c r="G835" s="626"/>
      <c r="H835" s="627"/>
    </row>
    <row r="836" spans="1:8" ht="15" customHeight="1" x14ac:dyDescent="0.25">
      <c r="A836" s="139">
        <v>9312</v>
      </c>
      <c r="B836" s="626" t="s">
        <v>3132</v>
      </c>
      <c r="C836" s="626"/>
      <c r="D836" s="626"/>
      <c r="E836" s="626"/>
      <c r="F836" s="626"/>
      <c r="G836" s="626"/>
      <c r="H836" s="627"/>
    </row>
    <row r="837" spans="1:8" ht="15" customHeight="1" x14ac:dyDescent="0.25">
      <c r="A837" s="139">
        <v>9313</v>
      </c>
      <c r="B837" s="626" t="s">
        <v>3133</v>
      </c>
      <c r="C837" s="626"/>
      <c r="D837" s="626"/>
      <c r="E837" s="626"/>
      <c r="F837" s="626"/>
      <c r="G837" s="626"/>
      <c r="H837" s="627"/>
    </row>
    <row r="838" spans="1:8" ht="15" customHeight="1" x14ac:dyDescent="0.25">
      <c r="A838" s="139">
        <v>9319</v>
      </c>
      <c r="B838" s="626" t="s">
        <v>3134</v>
      </c>
      <c r="C838" s="626"/>
      <c r="D838" s="626"/>
      <c r="E838" s="626"/>
      <c r="F838" s="626"/>
      <c r="G838" s="626"/>
      <c r="H838" s="627"/>
    </row>
    <row r="839" spans="1:8" ht="15" customHeight="1" x14ac:dyDescent="0.25">
      <c r="A839" s="139">
        <v>9321</v>
      </c>
      <c r="B839" s="626" t="s">
        <v>3135</v>
      </c>
      <c r="C839" s="626"/>
      <c r="D839" s="626"/>
      <c r="E839" s="626"/>
      <c r="F839" s="626"/>
      <c r="G839" s="626"/>
      <c r="H839" s="627"/>
    </row>
    <row r="840" spans="1:8" ht="15" customHeight="1" x14ac:dyDescent="0.25">
      <c r="A840" s="139">
        <v>9329</v>
      </c>
      <c r="B840" s="626" t="s">
        <v>3136</v>
      </c>
      <c r="C840" s="626"/>
      <c r="D840" s="626"/>
      <c r="E840" s="626"/>
      <c r="F840" s="626"/>
      <c r="G840" s="626"/>
      <c r="H840" s="627"/>
    </row>
    <row r="841" spans="1:8" ht="15" customHeight="1" x14ac:dyDescent="0.25">
      <c r="A841" s="139">
        <v>9411</v>
      </c>
      <c r="B841" s="626" t="s">
        <v>3137</v>
      </c>
      <c r="C841" s="626"/>
      <c r="D841" s="626"/>
      <c r="E841" s="626"/>
      <c r="F841" s="626"/>
      <c r="G841" s="626"/>
      <c r="H841" s="627"/>
    </row>
    <row r="842" spans="1:8" ht="15" customHeight="1" x14ac:dyDescent="0.25">
      <c r="A842" s="139">
        <v>9412</v>
      </c>
      <c r="B842" s="626" t="s">
        <v>3138</v>
      </c>
      <c r="C842" s="626"/>
      <c r="D842" s="626"/>
      <c r="E842" s="626"/>
      <c r="F842" s="626"/>
      <c r="G842" s="626"/>
      <c r="H842" s="627"/>
    </row>
    <row r="843" spans="1:8" ht="15" customHeight="1" x14ac:dyDescent="0.25">
      <c r="A843" s="139">
        <v>9420</v>
      </c>
      <c r="B843" s="626" t="s">
        <v>3139</v>
      </c>
      <c r="C843" s="626"/>
      <c r="D843" s="626"/>
      <c r="E843" s="626"/>
      <c r="F843" s="626"/>
      <c r="G843" s="626"/>
      <c r="H843" s="627"/>
    </row>
    <row r="844" spans="1:8" ht="15" customHeight="1" x14ac:dyDescent="0.25">
      <c r="A844" s="139">
        <v>9491</v>
      </c>
      <c r="B844" s="626" t="s">
        <v>3140</v>
      </c>
      <c r="C844" s="626"/>
      <c r="D844" s="626"/>
      <c r="E844" s="626"/>
      <c r="F844" s="626"/>
      <c r="G844" s="626"/>
      <c r="H844" s="627"/>
    </row>
    <row r="845" spans="1:8" ht="15" customHeight="1" x14ac:dyDescent="0.25">
      <c r="A845" s="139">
        <v>9492</v>
      </c>
      <c r="B845" s="626" t="s">
        <v>3141</v>
      </c>
      <c r="C845" s="626"/>
      <c r="D845" s="626"/>
      <c r="E845" s="626"/>
      <c r="F845" s="626"/>
      <c r="G845" s="626"/>
      <c r="H845" s="627"/>
    </row>
    <row r="846" spans="1:8" ht="15" customHeight="1" x14ac:dyDescent="0.25">
      <c r="A846" s="139">
        <v>9499</v>
      </c>
      <c r="B846" s="626" t="s">
        <v>3142</v>
      </c>
      <c r="C846" s="626"/>
      <c r="D846" s="626"/>
      <c r="E846" s="626"/>
      <c r="F846" s="626"/>
      <c r="G846" s="626"/>
      <c r="H846" s="627"/>
    </row>
    <row r="847" spans="1:8" ht="15" customHeight="1" x14ac:dyDescent="0.25">
      <c r="A847" s="139">
        <v>9511</v>
      </c>
      <c r="B847" s="626" t="s">
        <v>1755</v>
      </c>
      <c r="C847" s="626"/>
      <c r="D847" s="626"/>
      <c r="E847" s="626"/>
      <c r="F847" s="626"/>
      <c r="G847" s="626"/>
      <c r="H847" s="627"/>
    </row>
    <row r="848" spans="1:8" ht="15" customHeight="1" x14ac:dyDescent="0.25">
      <c r="A848" s="139">
        <v>9512</v>
      </c>
      <c r="B848" s="626" t="s">
        <v>1756</v>
      </c>
      <c r="C848" s="626"/>
      <c r="D848" s="626"/>
      <c r="E848" s="626"/>
      <c r="F848" s="626"/>
      <c r="G848" s="626"/>
      <c r="H848" s="627"/>
    </row>
    <row r="849" spans="1:8" ht="15" customHeight="1" x14ac:dyDescent="0.25">
      <c r="A849" s="139">
        <v>9521</v>
      </c>
      <c r="B849" s="626" t="s">
        <v>1757</v>
      </c>
      <c r="C849" s="626"/>
      <c r="D849" s="626"/>
      <c r="E849" s="626"/>
      <c r="F849" s="626"/>
      <c r="G849" s="626"/>
      <c r="H849" s="627"/>
    </row>
    <row r="850" spans="1:8" ht="15" customHeight="1" x14ac:dyDescent="0.25">
      <c r="A850" s="139">
        <v>9522</v>
      </c>
      <c r="B850" s="626" t="s">
        <v>1758</v>
      </c>
      <c r="C850" s="626"/>
      <c r="D850" s="626"/>
      <c r="E850" s="626"/>
      <c r="F850" s="626"/>
      <c r="G850" s="626"/>
      <c r="H850" s="627"/>
    </row>
    <row r="851" spans="1:8" ht="15" customHeight="1" x14ac:dyDescent="0.25">
      <c r="A851" s="139">
        <v>9523</v>
      </c>
      <c r="B851" s="626" t="s">
        <v>1759</v>
      </c>
      <c r="C851" s="626"/>
      <c r="D851" s="626"/>
      <c r="E851" s="626"/>
      <c r="F851" s="626"/>
      <c r="G851" s="626"/>
      <c r="H851" s="627"/>
    </row>
    <row r="852" spans="1:8" ht="15" customHeight="1" x14ac:dyDescent="0.25">
      <c r="A852" s="139">
        <v>9524</v>
      </c>
      <c r="B852" s="626" t="s">
        <v>1760</v>
      </c>
      <c r="C852" s="626"/>
      <c r="D852" s="626"/>
      <c r="E852" s="626"/>
      <c r="F852" s="626"/>
      <c r="G852" s="626"/>
      <c r="H852" s="627"/>
    </row>
    <row r="853" spans="1:8" ht="15" customHeight="1" x14ac:dyDescent="0.25">
      <c r="A853" s="139">
        <v>9525</v>
      </c>
      <c r="B853" s="626" t="s">
        <v>1250</v>
      </c>
      <c r="C853" s="626"/>
      <c r="D853" s="626"/>
      <c r="E853" s="626"/>
      <c r="F853" s="626"/>
      <c r="G853" s="626"/>
      <c r="H853" s="627"/>
    </row>
    <row r="854" spans="1:8" ht="15" customHeight="1" x14ac:dyDescent="0.25">
      <c r="A854" s="139">
        <v>9529</v>
      </c>
      <c r="B854" s="626" t="s">
        <v>1761</v>
      </c>
      <c r="C854" s="626"/>
      <c r="D854" s="626"/>
      <c r="E854" s="626"/>
      <c r="F854" s="626"/>
      <c r="G854" s="626"/>
      <c r="H854" s="627"/>
    </row>
    <row r="855" spans="1:8" ht="15" customHeight="1" x14ac:dyDescent="0.25">
      <c r="A855" s="139">
        <v>9601</v>
      </c>
      <c r="B855" s="626" t="s">
        <v>1912</v>
      </c>
      <c r="C855" s="626"/>
      <c r="D855" s="626"/>
      <c r="E855" s="626"/>
      <c r="F855" s="626"/>
      <c r="G855" s="626"/>
      <c r="H855" s="627"/>
    </row>
    <row r="856" spans="1:8" ht="15" customHeight="1" x14ac:dyDescent="0.25">
      <c r="A856" s="139">
        <v>9602</v>
      </c>
      <c r="B856" s="626" t="s">
        <v>1264</v>
      </c>
      <c r="C856" s="626"/>
      <c r="D856" s="626"/>
      <c r="E856" s="626"/>
      <c r="F856" s="626"/>
      <c r="G856" s="626"/>
      <c r="H856" s="627"/>
    </row>
    <row r="857" spans="1:8" ht="15" customHeight="1" x14ac:dyDescent="0.25">
      <c r="A857" s="139">
        <v>9603</v>
      </c>
      <c r="B857" s="626" t="s">
        <v>1838</v>
      </c>
      <c r="C857" s="626"/>
      <c r="D857" s="626"/>
      <c r="E857" s="626"/>
      <c r="F857" s="626"/>
      <c r="G857" s="626"/>
      <c r="H857" s="627"/>
    </row>
    <row r="858" spans="1:8" ht="15" customHeight="1" x14ac:dyDescent="0.25">
      <c r="A858" s="139">
        <v>9604</v>
      </c>
      <c r="B858" s="626" t="s">
        <v>3360</v>
      </c>
      <c r="C858" s="626"/>
      <c r="D858" s="626"/>
      <c r="E858" s="626"/>
      <c r="F858" s="626"/>
      <c r="G858" s="626"/>
      <c r="H858" s="627"/>
    </row>
    <row r="859" spans="1:8" ht="15" customHeight="1" x14ac:dyDescent="0.25">
      <c r="A859" s="139">
        <v>9609</v>
      </c>
      <c r="B859" s="626" t="s">
        <v>3361</v>
      </c>
      <c r="C859" s="626"/>
      <c r="D859" s="626"/>
      <c r="E859" s="626"/>
      <c r="F859" s="626"/>
      <c r="G859" s="626"/>
      <c r="H859" s="627"/>
    </row>
    <row r="860" spans="1:8" ht="15" customHeight="1" x14ac:dyDescent="0.25">
      <c r="A860" s="139">
        <v>9700</v>
      </c>
      <c r="B860" s="626" t="s">
        <v>3094</v>
      </c>
      <c r="C860" s="626"/>
      <c r="D860" s="626"/>
      <c r="E860" s="626"/>
      <c r="F860" s="626"/>
      <c r="G860" s="626"/>
      <c r="H860" s="627"/>
    </row>
    <row r="861" spans="1:8" ht="15" customHeight="1" x14ac:dyDescent="0.25">
      <c r="A861" s="139">
        <v>9810</v>
      </c>
      <c r="B861" s="626" t="s">
        <v>3362</v>
      </c>
      <c r="C861" s="626"/>
      <c r="D861" s="626"/>
      <c r="E861" s="626"/>
      <c r="F861" s="626"/>
      <c r="G861" s="626"/>
      <c r="H861" s="627"/>
    </row>
    <row r="862" spans="1:8" ht="15" customHeight="1" x14ac:dyDescent="0.25">
      <c r="A862" s="139">
        <v>9820</v>
      </c>
      <c r="B862" s="626" t="s">
        <v>3095</v>
      </c>
      <c r="C862" s="626"/>
      <c r="D862" s="626"/>
      <c r="E862" s="626"/>
      <c r="F862" s="626"/>
      <c r="G862" s="626"/>
      <c r="H862" s="627"/>
    </row>
    <row r="863" spans="1:8" ht="15" customHeight="1" x14ac:dyDescent="0.25">
      <c r="A863" s="140">
        <v>9900</v>
      </c>
      <c r="B863" s="634" t="s">
        <v>3363</v>
      </c>
      <c r="C863" s="634"/>
      <c r="D863" s="634"/>
      <c r="E863" s="634"/>
      <c r="F863" s="634"/>
      <c r="G863" s="634"/>
      <c r="H863" s="635"/>
    </row>
    <row r="864" spans="1:8" ht="5.0999999999999996" customHeight="1" x14ac:dyDescent="0.25"/>
    <row r="865" hidden="1"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sheetData>
  <sheetProtection password="C79A" sheet="1" objects="1" scenarios="1"/>
  <mergeCells count="629">
    <mergeCell ref="B862:H862"/>
    <mergeCell ref="B863:H863"/>
    <mergeCell ref="A247:B247"/>
    <mergeCell ref="C247:E247"/>
    <mergeCell ref="F247:H247"/>
    <mergeCell ref="B858:H858"/>
    <mergeCell ref="B859:H859"/>
    <mergeCell ref="B860:H860"/>
    <mergeCell ref="B861:H861"/>
    <mergeCell ref="B854:H854"/>
    <mergeCell ref="B855:H855"/>
    <mergeCell ref="B856:H856"/>
    <mergeCell ref="B857:H857"/>
    <mergeCell ref="B850:H850"/>
    <mergeCell ref="B851:H851"/>
    <mergeCell ref="B852:H852"/>
    <mergeCell ref="B853:H853"/>
    <mergeCell ref="B836:H836"/>
    <mergeCell ref="B837:H837"/>
    <mergeCell ref="B833:H833"/>
    <mergeCell ref="B834:H834"/>
    <mergeCell ref="B819:H819"/>
    <mergeCell ref="B830:H830"/>
    <mergeCell ref="B832:H832"/>
    <mergeCell ref="A1:H1"/>
    <mergeCell ref="A193:B193"/>
    <mergeCell ref="C193:E193"/>
    <mergeCell ref="F193:H193"/>
    <mergeCell ref="B849:H849"/>
    <mergeCell ref="B842:H842"/>
    <mergeCell ref="B843:H843"/>
    <mergeCell ref="B844:H844"/>
    <mergeCell ref="B845:H845"/>
    <mergeCell ref="B846:H846"/>
    <mergeCell ref="B847:H847"/>
    <mergeCell ref="B848:H848"/>
    <mergeCell ref="B807:H807"/>
    <mergeCell ref="B814:H814"/>
    <mergeCell ref="B815:H815"/>
    <mergeCell ref="B816:H816"/>
    <mergeCell ref="B840:H840"/>
    <mergeCell ref="B841:H841"/>
    <mergeCell ref="B838:H838"/>
    <mergeCell ref="B839:H839"/>
    <mergeCell ref="B826:H826"/>
    <mergeCell ref="B827:H827"/>
    <mergeCell ref="B825:H825"/>
    <mergeCell ref="B831:H831"/>
    <mergeCell ref="B828:H828"/>
    <mergeCell ref="B829:H829"/>
    <mergeCell ref="B798:H798"/>
    <mergeCell ref="B799:H799"/>
    <mergeCell ref="B835:H835"/>
    <mergeCell ref="B808:H808"/>
    <mergeCell ref="B809:H809"/>
    <mergeCell ref="B810:H810"/>
    <mergeCell ref="B811:H811"/>
    <mergeCell ref="B812:H812"/>
    <mergeCell ref="B813:H813"/>
    <mergeCell ref="B822:H822"/>
    <mergeCell ref="B800:H800"/>
    <mergeCell ref="B801:H801"/>
    <mergeCell ref="B802:H802"/>
    <mergeCell ref="B803:H803"/>
    <mergeCell ref="B804:H804"/>
    <mergeCell ref="B805:H805"/>
    <mergeCell ref="B806:H806"/>
    <mergeCell ref="B823:H823"/>
    <mergeCell ref="B824:H824"/>
    <mergeCell ref="B820:H820"/>
    <mergeCell ref="B821:H821"/>
    <mergeCell ref="B817:H817"/>
    <mergeCell ref="B793:H793"/>
    <mergeCell ref="B794:H794"/>
    <mergeCell ref="B795:H795"/>
    <mergeCell ref="B796:H796"/>
    <mergeCell ref="B797:H797"/>
    <mergeCell ref="B782:H782"/>
    <mergeCell ref="B783:H783"/>
    <mergeCell ref="B784:H784"/>
    <mergeCell ref="B785:H785"/>
    <mergeCell ref="B786:H786"/>
    <mergeCell ref="B787:H787"/>
    <mergeCell ref="B788:H788"/>
    <mergeCell ref="B789:H789"/>
    <mergeCell ref="B818:H818"/>
    <mergeCell ref="B778:H778"/>
    <mergeCell ref="B779:H779"/>
    <mergeCell ref="B780:H780"/>
    <mergeCell ref="B781:H781"/>
    <mergeCell ref="B790:H790"/>
    <mergeCell ref="B791:H791"/>
    <mergeCell ref="B792:H792"/>
    <mergeCell ref="B762:H762"/>
    <mergeCell ref="B763:H763"/>
    <mergeCell ref="B776:H776"/>
    <mergeCell ref="B777:H777"/>
    <mergeCell ref="B766:H766"/>
    <mergeCell ref="B767:H767"/>
    <mergeCell ref="B768:H768"/>
    <mergeCell ref="B769:H769"/>
    <mergeCell ref="B770:H770"/>
    <mergeCell ref="B771:H771"/>
    <mergeCell ref="B764:H764"/>
    <mergeCell ref="B765:H765"/>
    <mergeCell ref="B772:H772"/>
    <mergeCell ref="B773:H773"/>
    <mergeCell ref="B774:H774"/>
    <mergeCell ref="B775:H775"/>
    <mergeCell ref="B757:H757"/>
    <mergeCell ref="B758:H758"/>
    <mergeCell ref="B759:H759"/>
    <mergeCell ref="B760:H760"/>
    <mergeCell ref="B761:H761"/>
    <mergeCell ref="B746:H746"/>
    <mergeCell ref="B747:H747"/>
    <mergeCell ref="B748:H748"/>
    <mergeCell ref="B749:H749"/>
    <mergeCell ref="B750:H750"/>
    <mergeCell ref="B751:H751"/>
    <mergeCell ref="B752:H752"/>
    <mergeCell ref="B753:H753"/>
    <mergeCell ref="B742:H742"/>
    <mergeCell ref="B743:H743"/>
    <mergeCell ref="B744:H744"/>
    <mergeCell ref="B745:H745"/>
    <mergeCell ref="B754:H754"/>
    <mergeCell ref="B755:H755"/>
    <mergeCell ref="B756:H756"/>
    <mergeCell ref="B726:H726"/>
    <mergeCell ref="B727:H727"/>
    <mergeCell ref="B740:H740"/>
    <mergeCell ref="B741:H741"/>
    <mergeCell ref="B730:H730"/>
    <mergeCell ref="B731:H731"/>
    <mergeCell ref="B732:H732"/>
    <mergeCell ref="B733:H733"/>
    <mergeCell ref="B734:H734"/>
    <mergeCell ref="B735:H735"/>
    <mergeCell ref="B728:H728"/>
    <mergeCell ref="B729:H729"/>
    <mergeCell ref="B736:H736"/>
    <mergeCell ref="B737:H737"/>
    <mergeCell ref="B738:H738"/>
    <mergeCell ref="B739:H739"/>
    <mergeCell ref="B721:H721"/>
    <mergeCell ref="B722:H722"/>
    <mergeCell ref="B723:H723"/>
    <mergeCell ref="B724:H724"/>
    <mergeCell ref="B725:H725"/>
    <mergeCell ref="B710:H710"/>
    <mergeCell ref="B711:H711"/>
    <mergeCell ref="B712:H712"/>
    <mergeCell ref="B713:H713"/>
    <mergeCell ref="B714:H714"/>
    <mergeCell ref="B715:H715"/>
    <mergeCell ref="B716:H716"/>
    <mergeCell ref="B717:H717"/>
    <mergeCell ref="B706:H706"/>
    <mergeCell ref="B707:H707"/>
    <mergeCell ref="B708:H708"/>
    <mergeCell ref="B709:H709"/>
    <mergeCell ref="B718:H718"/>
    <mergeCell ref="B719:H719"/>
    <mergeCell ref="B720:H720"/>
    <mergeCell ref="B690:H690"/>
    <mergeCell ref="B691:H691"/>
    <mergeCell ref="B704:H704"/>
    <mergeCell ref="B705:H705"/>
    <mergeCell ref="B694:H694"/>
    <mergeCell ref="B695:H695"/>
    <mergeCell ref="B696:H696"/>
    <mergeCell ref="B697:H697"/>
    <mergeCell ref="B698:H698"/>
    <mergeCell ref="B699:H699"/>
    <mergeCell ref="B692:H692"/>
    <mergeCell ref="B693:H693"/>
    <mergeCell ref="B700:H700"/>
    <mergeCell ref="B701:H701"/>
    <mergeCell ref="B702:H702"/>
    <mergeCell ref="B703:H703"/>
    <mergeCell ref="B685:H685"/>
    <mergeCell ref="B686:H686"/>
    <mergeCell ref="B687:H687"/>
    <mergeCell ref="B688:H688"/>
    <mergeCell ref="B689:H689"/>
    <mergeCell ref="B674:H674"/>
    <mergeCell ref="B675:H675"/>
    <mergeCell ref="B676:H676"/>
    <mergeCell ref="B677:H677"/>
    <mergeCell ref="B678:H678"/>
    <mergeCell ref="B679:H679"/>
    <mergeCell ref="B680:H680"/>
    <mergeCell ref="B681:H681"/>
    <mergeCell ref="B670:H670"/>
    <mergeCell ref="B671:H671"/>
    <mergeCell ref="B672:H672"/>
    <mergeCell ref="B673:H673"/>
    <mergeCell ref="B682:H682"/>
    <mergeCell ref="B683:H683"/>
    <mergeCell ref="B684:H684"/>
    <mergeCell ref="B654:H654"/>
    <mergeCell ref="B655:H655"/>
    <mergeCell ref="B668:H668"/>
    <mergeCell ref="B669:H669"/>
    <mergeCell ref="B658:H658"/>
    <mergeCell ref="B659:H659"/>
    <mergeCell ref="B660:H660"/>
    <mergeCell ref="B661:H661"/>
    <mergeCell ref="B662:H662"/>
    <mergeCell ref="B663:H663"/>
    <mergeCell ref="B656:H656"/>
    <mergeCell ref="B657:H657"/>
    <mergeCell ref="B664:H664"/>
    <mergeCell ref="B665:H665"/>
    <mergeCell ref="B666:H666"/>
    <mergeCell ref="B667:H667"/>
    <mergeCell ref="B649:H649"/>
    <mergeCell ref="B650:H650"/>
    <mergeCell ref="B651:H651"/>
    <mergeCell ref="B652:H652"/>
    <mergeCell ref="B653:H653"/>
    <mergeCell ref="B638:H638"/>
    <mergeCell ref="B639:H639"/>
    <mergeCell ref="B640:H640"/>
    <mergeCell ref="B641:H641"/>
    <mergeCell ref="B642:H642"/>
    <mergeCell ref="B643:H643"/>
    <mergeCell ref="B644:H644"/>
    <mergeCell ref="B645:H645"/>
    <mergeCell ref="B634:H634"/>
    <mergeCell ref="B635:H635"/>
    <mergeCell ref="B636:H636"/>
    <mergeCell ref="B637:H637"/>
    <mergeCell ref="B646:H646"/>
    <mergeCell ref="B647:H647"/>
    <mergeCell ref="B648:H648"/>
    <mergeCell ref="B618:H618"/>
    <mergeCell ref="B619:H619"/>
    <mergeCell ref="B632:H632"/>
    <mergeCell ref="B633:H633"/>
    <mergeCell ref="B622:H622"/>
    <mergeCell ref="B623:H623"/>
    <mergeCell ref="B624:H624"/>
    <mergeCell ref="B625:H625"/>
    <mergeCell ref="B626:H626"/>
    <mergeCell ref="B627:H627"/>
    <mergeCell ref="B620:H620"/>
    <mergeCell ref="B621:H621"/>
    <mergeCell ref="B628:H628"/>
    <mergeCell ref="B629:H629"/>
    <mergeCell ref="B630:H630"/>
    <mergeCell ref="B631:H631"/>
    <mergeCell ref="B613:H613"/>
    <mergeCell ref="B614:H614"/>
    <mergeCell ref="B615:H615"/>
    <mergeCell ref="B616:H616"/>
    <mergeCell ref="B617:H617"/>
    <mergeCell ref="B602:H602"/>
    <mergeCell ref="B603:H603"/>
    <mergeCell ref="B604:H604"/>
    <mergeCell ref="B605:H605"/>
    <mergeCell ref="B606:H606"/>
    <mergeCell ref="B607:H607"/>
    <mergeCell ref="B608:H608"/>
    <mergeCell ref="B609:H609"/>
    <mergeCell ref="B598:H598"/>
    <mergeCell ref="B599:H599"/>
    <mergeCell ref="B600:H600"/>
    <mergeCell ref="B601:H601"/>
    <mergeCell ref="B610:H610"/>
    <mergeCell ref="B611:H611"/>
    <mergeCell ref="B612:H612"/>
    <mergeCell ref="B582:H582"/>
    <mergeCell ref="B583:H583"/>
    <mergeCell ref="B596:H596"/>
    <mergeCell ref="B597:H597"/>
    <mergeCell ref="B586:H586"/>
    <mergeCell ref="B587:H587"/>
    <mergeCell ref="B588:H588"/>
    <mergeCell ref="B589:H589"/>
    <mergeCell ref="B590:H590"/>
    <mergeCell ref="B591:H591"/>
    <mergeCell ref="B584:H584"/>
    <mergeCell ref="B585:H585"/>
    <mergeCell ref="B592:H592"/>
    <mergeCell ref="B593:H593"/>
    <mergeCell ref="B594:H594"/>
    <mergeCell ref="B595:H595"/>
    <mergeCell ref="B577:H577"/>
    <mergeCell ref="B578:H578"/>
    <mergeCell ref="B579:H579"/>
    <mergeCell ref="B580:H580"/>
    <mergeCell ref="B581:H581"/>
    <mergeCell ref="B566:H566"/>
    <mergeCell ref="B567:H567"/>
    <mergeCell ref="B568:H568"/>
    <mergeCell ref="B569:H569"/>
    <mergeCell ref="B570:H570"/>
    <mergeCell ref="B571:H571"/>
    <mergeCell ref="B572:H572"/>
    <mergeCell ref="B573:H573"/>
    <mergeCell ref="B562:H562"/>
    <mergeCell ref="B563:H563"/>
    <mergeCell ref="B564:H564"/>
    <mergeCell ref="B565:H565"/>
    <mergeCell ref="B574:H574"/>
    <mergeCell ref="B575:H575"/>
    <mergeCell ref="B576:H576"/>
    <mergeCell ref="B546:H546"/>
    <mergeCell ref="B547:H547"/>
    <mergeCell ref="B560:H560"/>
    <mergeCell ref="B561:H561"/>
    <mergeCell ref="B550:H550"/>
    <mergeCell ref="B551:H551"/>
    <mergeCell ref="B552:H552"/>
    <mergeCell ref="B553:H553"/>
    <mergeCell ref="B554:H554"/>
    <mergeCell ref="B555:H555"/>
    <mergeCell ref="B548:H548"/>
    <mergeCell ref="B549:H549"/>
    <mergeCell ref="B556:H556"/>
    <mergeCell ref="B557:H557"/>
    <mergeCell ref="B558:H558"/>
    <mergeCell ref="B559:H559"/>
    <mergeCell ref="B541:H541"/>
    <mergeCell ref="B542:H542"/>
    <mergeCell ref="B543:H543"/>
    <mergeCell ref="B544:H544"/>
    <mergeCell ref="B545:H545"/>
    <mergeCell ref="B530:H530"/>
    <mergeCell ref="B531:H531"/>
    <mergeCell ref="B532:H532"/>
    <mergeCell ref="B533:H533"/>
    <mergeCell ref="B534:H534"/>
    <mergeCell ref="B535:H535"/>
    <mergeCell ref="B536:H536"/>
    <mergeCell ref="B537:H537"/>
    <mergeCell ref="B526:H526"/>
    <mergeCell ref="B527:H527"/>
    <mergeCell ref="B528:H528"/>
    <mergeCell ref="B529:H529"/>
    <mergeCell ref="B538:H538"/>
    <mergeCell ref="B539:H539"/>
    <mergeCell ref="B540:H540"/>
    <mergeCell ref="B510:H510"/>
    <mergeCell ref="B511:H511"/>
    <mergeCell ref="B524:H524"/>
    <mergeCell ref="B525:H525"/>
    <mergeCell ref="B514:H514"/>
    <mergeCell ref="B515:H515"/>
    <mergeCell ref="B516:H516"/>
    <mergeCell ref="B517:H517"/>
    <mergeCell ref="B518:H518"/>
    <mergeCell ref="B519:H519"/>
    <mergeCell ref="B512:H512"/>
    <mergeCell ref="B513:H513"/>
    <mergeCell ref="B520:H520"/>
    <mergeCell ref="B521:H521"/>
    <mergeCell ref="B522:H522"/>
    <mergeCell ref="B523:H523"/>
    <mergeCell ref="B505:H505"/>
    <mergeCell ref="B506:H506"/>
    <mergeCell ref="B507:H507"/>
    <mergeCell ref="B508:H508"/>
    <mergeCell ref="B509:H509"/>
    <mergeCell ref="B494:H494"/>
    <mergeCell ref="B495:H495"/>
    <mergeCell ref="B496:H496"/>
    <mergeCell ref="B497:H497"/>
    <mergeCell ref="B498:H498"/>
    <mergeCell ref="B499:H499"/>
    <mergeCell ref="B500:H500"/>
    <mergeCell ref="B501:H501"/>
    <mergeCell ref="B490:H490"/>
    <mergeCell ref="B491:H491"/>
    <mergeCell ref="B492:H492"/>
    <mergeCell ref="B493:H493"/>
    <mergeCell ref="B502:H502"/>
    <mergeCell ref="B503:H503"/>
    <mergeCell ref="B504:H504"/>
    <mergeCell ref="B474:H474"/>
    <mergeCell ref="B475:H475"/>
    <mergeCell ref="B488:H488"/>
    <mergeCell ref="B489:H489"/>
    <mergeCell ref="B478:H478"/>
    <mergeCell ref="B479:H479"/>
    <mergeCell ref="B480:H480"/>
    <mergeCell ref="B481:H481"/>
    <mergeCell ref="B482:H482"/>
    <mergeCell ref="B483:H483"/>
    <mergeCell ref="B476:H476"/>
    <mergeCell ref="B477:H477"/>
    <mergeCell ref="B484:H484"/>
    <mergeCell ref="B485:H485"/>
    <mergeCell ref="B486:H486"/>
    <mergeCell ref="B487:H487"/>
    <mergeCell ref="B469:H469"/>
    <mergeCell ref="B470:H470"/>
    <mergeCell ref="B471:H471"/>
    <mergeCell ref="B472:H472"/>
    <mergeCell ref="B473:H473"/>
    <mergeCell ref="B458:H458"/>
    <mergeCell ref="B459:H459"/>
    <mergeCell ref="B460:H460"/>
    <mergeCell ref="B461:H461"/>
    <mergeCell ref="B462:H462"/>
    <mergeCell ref="B463:H463"/>
    <mergeCell ref="B464:H464"/>
    <mergeCell ref="B465:H465"/>
    <mergeCell ref="B454:H454"/>
    <mergeCell ref="B455:H455"/>
    <mergeCell ref="B456:H456"/>
    <mergeCell ref="B457:H457"/>
    <mergeCell ref="B466:H466"/>
    <mergeCell ref="B467:H467"/>
    <mergeCell ref="B468:H468"/>
    <mergeCell ref="B438:H438"/>
    <mergeCell ref="B439:H439"/>
    <mergeCell ref="B452:H452"/>
    <mergeCell ref="B453:H453"/>
    <mergeCell ref="B442:H442"/>
    <mergeCell ref="B443:H443"/>
    <mergeCell ref="B444:H444"/>
    <mergeCell ref="B445:H445"/>
    <mergeCell ref="B446:H446"/>
    <mergeCell ref="B447:H447"/>
    <mergeCell ref="B440:H440"/>
    <mergeCell ref="B441:H441"/>
    <mergeCell ref="B448:H448"/>
    <mergeCell ref="B449:H449"/>
    <mergeCell ref="B450:H450"/>
    <mergeCell ref="B451:H451"/>
    <mergeCell ref="B433:H433"/>
    <mergeCell ref="B434:H434"/>
    <mergeCell ref="B435:H435"/>
    <mergeCell ref="B436:H436"/>
    <mergeCell ref="B437:H437"/>
    <mergeCell ref="B422:H422"/>
    <mergeCell ref="B423:H423"/>
    <mergeCell ref="B424:H424"/>
    <mergeCell ref="B425:H425"/>
    <mergeCell ref="B426:H426"/>
    <mergeCell ref="B427:H427"/>
    <mergeCell ref="B428:H428"/>
    <mergeCell ref="B429:H429"/>
    <mergeCell ref="B418:H418"/>
    <mergeCell ref="B419:H419"/>
    <mergeCell ref="B420:H420"/>
    <mergeCell ref="B421:H421"/>
    <mergeCell ref="B430:H430"/>
    <mergeCell ref="B431:H431"/>
    <mergeCell ref="B432:H432"/>
    <mergeCell ref="B402:H402"/>
    <mergeCell ref="B403:H403"/>
    <mergeCell ref="B416:H416"/>
    <mergeCell ref="B417:H417"/>
    <mergeCell ref="B406:H406"/>
    <mergeCell ref="B407:H407"/>
    <mergeCell ref="B408:H408"/>
    <mergeCell ref="B409:H409"/>
    <mergeCell ref="B410:H410"/>
    <mergeCell ref="B411:H411"/>
    <mergeCell ref="B404:H404"/>
    <mergeCell ref="B405:H405"/>
    <mergeCell ref="B412:H412"/>
    <mergeCell ref="B413:H413"/>
    <mergeCell ref="B414:H414"/>
    <mergeCell ref="B415:H415"/>
    <mergeCell ref="B397:H397"/>
    <mergeCell ref="B398:H398"/>
    <mergeCell ref="B399:H399"/>
    <mergeCell ref="B400:H400"/>
    <mergeCell ref="B401:H401"/>
    <mergeCell ref="B386:H386"/>
    <mergeCell ref="B387:H387"/>
    <mergeCell ref="B388:H388"/>
    <mergeCell ref="B389:H389"/>
    <mergeCell ref="B390:H390"/>
    <mergeCell ref="B391:H391"/>
    <mergeCell ref="B392:H392"/>
    <mergeCell ref="B393:H393"/>
    <mergeCell ref="B382:H382"/>
    <mergeCell ref="B383:H383"/>
    <mergeCell ref="B384:H384"/>
    <mergeCell ref="B385:H385"/>
    <mergeCell ref="B394:H394"/>
    <mergeCell ref="B395:H395"/>
    <mergeCell ref="B396:H396"/>
    <mergeCell ref="B366:H366"/>
    <mergeCell ref="B367:H367"/>
    <mergeCell ref="B380:H380"/>
    <mergeCell ref="B381:H381"/>
    <mergeCell ref="B370:H370"/>
    <mergeCell ref="B371:H371"/>
    <mergeCell ref="B372:H372"/>
    <mergeCell ref="B373:H373"/>
    <mergeCell ref="B374:H374"/>
    <mergeCell ref="B375:H375"/>
    <mergeCell ref="B368:H368"/>
    <mergeCell ref="B369:H369"/>
    <mergeCell ref="B376:H376"/>
    <mergeCell ref="B377:H377"/>
    <mergeCell ref="B378:H378"/>
    <mergeCell ref="B379:H379"/>
    <mergeCell ref="B361:H361"/>
    <mergeCell ref="B362:H362"/>
    <mergeCell ref="B363:H363"/>
    <mergeCell ref="B364:H364"/>
    <mergeCell ref="B365:H365"/>
    <mergeCell ref="B350:H350"/>
    <mergeCell ref="B351:H351"/>
    <mergeCell ref="B352:H352"/>
    <mergeCell ref="B353:H353"/>
    <mergeCell ref="B354:H354"/>
    <mergeCell ref="B355:H355"/>
    <mergeCell ref="B356:H356"/>
    <mergeCell ref="B357:H357"/>
    <mergeCell ref="B346:H346"/>
    <mergeCell ref="B347:H347"/>
    <mergeCell ref="B348:H348"/>
    <mergeCell ref="B349:H349"/>
    <mergeCell ref="B358:H358"/>
    <mergeCell ref="B359:H359"/>
    <mergeCell ref="B360:H360"/>
    <mergeCell ref="B330:H330"/>
    <mergeCell ref="B331:H331"/>
    <mergeCell ref="B344:H344"/>
    <mergeCell ref="B345:H345"/>
    <mergeCell ref="B334:H334"/>
    <mergeCell ref="B335:H335"/>
    <mergeCell ref="B336:H336"/>
    <mergeCell ref="B337:H337"/>
    <mergeCell ref="B338:H338"/>
    <mergeCell ref="B339:H339"/>
    <mergeCell ref="B332:H332"/>
    <mergeCell ref="B333:H333"/>
    <mergeCell ref="B340:H340"/>
    <mergeCell ref="B341:H341"/>
    <mergeCell ref="B342:H342"/>
    <mergeCell ref="B343:H343"/>
    <mergeCell ref="B325:H325"/>
    <mergeCell ref="B326:H326"/>
    <mergeCell ref="B327:H327"/>
    <mergeCell ref="B328:H328"/>
    <mergeCell ref="B329:H329"/>
    <mergeCell ref="B314:H314"/>
    <mergeCell ref="B315:H315"/>
    <mergeCell ref="B316:H316"/>
    <mergeCell ref="B317:H317"/>
    <mergeCell ref="B318:H318"/>
    <mergeCell ref="B319:H319"/>
    <mergeCell ref="B320:H320"/>
    <mergeCell ref="B321:H321"/>
    <mergeCell ref="B310:H310"/>
    <mergeCell ref="B311:H311"/>
    <mergeCell ref="B312:H312"/>
    <mergeCell ref="B313:H313"/>
    <mergeCell ref="B322:H322"/>
    <mergeCell ref="B323:H323"/>
    <mergeCell ref="B324:H324"/>
    <mergeCell ref="B294:H294"/>
    <mergeCell ref="B295:H295"/>
    <mergeCell ref="B308:H308"/>
    <mergeCell ref="B309:H309"/>
    <mergeCell ref="B298:H298"/>
    <mergeCell ref="B299:H299"/>
    <mergeCell ref="B300:H300"/>
    <mergeCell ref="B301:H301"/>
    <mergeCell ref="B302:H302"/>
    <mergeCell ref="B303:H303"/>
    <mergeCell ref="B296:H296"/>
    <mergeCell ref="B297:H297"/>
    <mergeCell ref="B304:H304"/>
    <mergeCell ref="B305:H305"/>
    <mergeCell ref="B306:H306"/>
    <mergeCell ref="B307:H307"/>
    <mergeCell ref="B289:H289"/>
    <mergeCell ref="B290:H290"/>
    <mergeCell ref="B291:H291"/>
    <mergeCell ref="B292:H292"/>
    <mergeCell ref="B293:H293"/>
    <mergeCell ref="B278:H278"/>
    <mergeCell ref="B279:H279"/>
    <mergeCell ref="B280:H280"/>
    <mergeCell ref="B281:H281"/>
    <mergeCell ref="B282:H282"/>
    <mergeCell ref="B283:H283"/>
    <mergeCell ref="B284:H284"/>
    <mergeCell ref="B285:H285"/>
    <mergeCell ref="B274:H274"/>
    <mergeCell ref="B275:H275"/>
    <mergeCell ref="B276:H276"/>
    <mergeCell ref="B277:H277"/>
    <mergeCell ref="B286:H286"/>
    <mergeCell ref="B287:H287"/>
    <mergeCell ref="B288:H288"/>
    <mergeCell ref="B260:H260"/>
    <mergeCell ref="B272:H272"/>
    <mergeCell ref="B273:H273"/>
    <mergeCell ref="B262:H262"/>
    <mergeCell ref="B263:H263"/>
    <mergeCell ref="B264:H264"/>
    <mergeCell ref="B265:H265"/>
    <mergeCell ref="B266:H266"/>
    <mergeCell ref="B267:H267"/>
    <mergeCell ref="B261:H261"/>
    <mergeCell ref="B268:H268"/>
    <mergeCell ref="B269:H269"/>
    <mergeCell ref="B270:H270"/>
    <mergeCell ref="B271:H271"/>
    <mergeCell ref="B251:H251"/>
    <mergeCell ref="B252:H252"/>
    <mergeCell ref="B253:H253"/>
    <mergeCell ref="B254:H254"/>
    <mergeCell ref="B255:H255"/>
    <mergeCell ref="B256:H256"/>
    <mergeCell ref="B257:H257"/>
    <mergeCell ref="B258:H258"/>
    <mergeCell ref="B259:H259"/>
    <mergeCell ref="B248:H248"/>
    <mergeCell ref="B249:H249"/>
    <mergeCell ref="B194:H194"/>
    <mergeCell ref="A2:H2"/>
    <mergeCell ref="A4:H4"/>
    <mergeCell ref="A3:C3"/>
    <mergeCell ref="D3:F3"/>
    <mergeCell ref="G3:H3"/>
    <mergeCell ref="B250:H250"/>
  </mergeCells>
  <phoneticPr fontId="10"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7:E247" location="RefStr!A1" tooltip="Povratak na Referentnu stranicu" display="&lt;–––– Povratak na Referentnu stranicu"/>
    <hyperlink ref="F247:H247"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C29"/>
  <sheetViews>
    <sheetView showGridLines="0" showRowColHeaders="0" workbookViewId="0">
      <selection sqref="A1:C1"/>
    </sheetView>
  </sheetViews>
  <sheetFormatPr defaultColWidth="0" defaultRowHeight="13.2" zeroHeight="1" x14ac:dyDescent="0.25"/>
  <cols>
    <col min="1" max="1" width="10.6640625" style="65" customWidth="1"/>
    <col min="2" max="3" width="45.6640625" style="65" customWidth="1"/>
    <col min="4" max="4" width="0.88671875" style="65" customWidth="1"/>
    <col min="5" max="16384" width="0" style="65" hidden="1"/>
  </cols>
  <sheetData>
    <row r="1" spans="1:3" ht="33" customHeight="1" x14ac:dyDescent="0.25">
      <c r="A1" s="638" t="s">
        <v>4010</v>
      </c>
      <c r="B1" s="638"/>
      <c r="C1" s="638"/>
    </row>
    <row r="2" spans="1:3" ht="18.75" customHeight="1" x14ac:dyDescent="0.25">
      <c r="A2" s="162" t="s">
        <v>4011</v>
      </c>
      <c r="B2" s="639" t="s">
        <v>4012</v>
      </c>
      <c r="C2" s="639"/>
    </row>
    <row r="3" spans="1:3" ht="37.5" hidden="1" customHeight="1" x14ac:dyDescent="0.25">
      <c r="A3" s="163" t="s">
        <v>616</v>
      </c>
      <c r="B3" s="640" t="s">
        <v>4013</v>
      </c>
      <c r="C3" s="641"/>
    </row>
    <row r="4" spans="1:3" ht="48" hidden="1" customHeight="1" x14ac:dyDescent="0.25">
      <c r="A4" s="163" t="s">
        <v>616</v>
      </c>
      <c r="B4" s="636" t="s">
        <v>574</v>
      </c>
      <c r="C4" s="636"/>
    </row>
    <row r="5" spans="1:3" ht="59.25" hidden="1" customHeight="1" x14ac:dyDescent="0.25">
      <c r="A5" s="163" t="s">
        <v>616</v>
      </c>
      <c r="B5" s="636" t="s">
        <v>3611</v>
      </c>
      <c r="C5" s="636"/>
    </row>
    <row r="6" spans="1:3" ht="48" hidden="1" customHeight="1" x14ac:dyDescent="0.25">
      <c r="A6" s="163" t="s">
        <v>617</v>
      </c>
      <c r="B6" s="636" t="s">
        <v>3089</v>
      </c>
      <c r="C6" s="636"/>
    </row>
    <row r="7" spans="1:3" ht="41.25" hidden="1" customHeight="1" x14ac:dyDescent="0.25">
      <c r="A7" s="163" t="s">
        <v>618</v>
      </c>
      <c r="B7" s="636" t="s">
        <v>1911</v>
      </c>
      <c r="C7" s="636"/>
    </row>
    <row r="8" spans="1:3" ht="59.25" hidden="1" customHeight="1" x14ac:dyDescent="0.25">
      <c r="A8" s="163" t="s">
        <v>619</v>
      </c>
      <c r="B8" s="636" t="s">
        <v>2876</v>
      </c>
      <c r="C8" s="636"/>
    </row>
    <row r="9" spans="1:3" ht="61.5" hidden="1" customHeight="1" x14ac:dyDescent="0.25">
      <c r="A9" s="163" t="s">
        <v>619</v>
      </c>
      <c r="B9" s="636" t="s">
        <v>2375</v>
      </c>
      <c r="C9" s="636"/>
    </row>
    <row r="10" spans="1:3" ht="43.5" hidden="1" customHeight="1" x14ac:dyDescent="0.25">
      <c r="A10" s="163" t="s">
        <v>619</v>
      </c>
      <c r="B10" s="636" t="s">
        <v>2376</v>
      </c>
      <c r="C10" s="636"/>
    </row>
    <row r="11" spans="1:3" ht="27.75" hidden="1" customHeight="1" x14ac:dyDescent="0.25">
      <c r="A11" s="163" t="s">
        <v>1837</v>
      </c>
      <c r="B11" s="636" t="s">
        <v>4232</v>
      </c>
      <c r="C11" s="636"/>
    </row>
    <row r="12" spans="1:3" ht="27.75" hidden="1" customHeight="1" x14ac:dyDescent="0.25">
      <c r="A12" s="163" t="s">
        <v>324</v>
      </c>
      <c r="B12" s="636" t="s">
        <v>323</v>
      </c>
      <c r="C12" s="636"/>
    </row>
    <row r="13" spans="1:3" ht="45.75" hidden="1" customHeight="1" x14ac:dyDescent="0.25">
      <c r="A13" s="163" t="s">
        <v>4219</v>
      </c>
      <c r="B13" s="636" t="s">
        <v>4220</v>
      </c>
      <c r="C13" s="636"/>
    </row>
    <row r="14" spans="1:3" ht="45.75" hidden="1" customHeight="1" x14ac:dyDescent="0.25">
      <c r="A14" s="163" t="s">
        <v>3149</v>
      </c>
      <c r="B14" s="636" t="s">
        <v>1176</v>
      </c>
      <c r="C14" s="636"/>
    </row>
    <row r="15" spans="1:3" ht="51" hidden="1" customHeight="1" x14ac:dyDescent="0.25">
      <c r="A15" s="163" t="s">
        <v>1929</v>
      </c>
      <c r="B15" s="636" t="s">
        <v>1928</v>
      </c>
      <c r="C15" s="636"/>
    </row>
    <row r="16" spans="1:3" ht="27.75" hidden="1" customHeight="1" x14ac:dyDescent="0.25">
      <c r="A16" s="163" t="s">
        <v>2377</v>
      </c>
      <c r="B16" s="636" t="s">
        <v>2378</v>
      </c>
      <c r="C16" s="636"/>
    </row>
    <row r="17" spans="1:3" ht="27.75" hidden="1" customHeight="1" x14ac:dyDescent="0.25">
      <c r="A17" s="163" t="s">
        <v>2656</v>
      </c>
      <c r="B17" s="636" t="s">
        <v>2657</v>
      </c>
      <c r="C17" s="636"/>
    </row>
    <row r="18" spans="1:3" ht="45" hidden="1" customHeight="1" x14ac:dyDescent="0.25">
      <c r="A18" s="163" t="s">
        <v>2656</v>
      </c>
      <c r="B18" s="636" t="s">
        <v>2824</v>
      </c>
      <c r="C18" s="636"/>
    </row>
    <row r="19" spans="1:3" ht="45" hidden="1" customHeight="1" x14ac:dyDescent="0.25">
      <c r="A19" s="163" t="s">
        <v>1788</v>
      </c>
      <c r="B19" s="636" t="s">
        <v>1789</v>
      </c>
      <c r="C19" s="636"/>
    </row>
    <row r="20" spans="1:3" ht="30" hidden="1" customHeight="1" x14ac:dyDescent="0.25">
      <c r="A20" s="163" t="s">
        <v>4006</v>
      </c>
      <c r="B20" s="636" t="s">
        <v>4007</v>
      </c>
      <c r="C20" s="636"/>
    </row>
    <row r="21" spans="1:3" ht="30" hidden="1" customHeight="1" x14ac:dyDescent="0.25">
      <c r="A21" s="163" t="s">
        <v>1360</v>
      </c>
      <c r="B21" s="636" t="s">
        <v>1359</v>
      </c>
      <c r="C21" s="636"/>
    </row>
    <row r="22" spans="1:3" ht="30" customHeight="1" x14ac:dyDescent="0.25">
      <c r="A22" s="163" t="s">
        <v>3436</v>
      </c>
      <c r="B22" s="636" t="s">
        <v>3437</v>
      </c>
      <c r="C22" s="636"/>
    </row>
    <row r="23" spans="1:3" ht="30" customHeight="1" x14ac:dyDescent="0.25">
      <c r="A23" s="163" t="s">
        <v>3385</v>
      </c>
      <c r="B23" s="636" t="s">
        <v>2660</v>
      </c>
      <c r="C23" s="636"/>
    </row>
    <row r="24" spans="1:3" ht="30" customHeight="1" x14ac:dyDescent="0.25">
      <c r="A24" s="163" t="s">
        <v>792</v>
      </c>
      <c r="B24" s="636" t="s">
        <v>793</v>
      </c>
      <c r="C24" s="636"/>
    </row>
    <row r="25" spans="1:3" ht="70.5" customHeight="1" x14ac:dyDescent="0.25">
      <c r="A25" s="163" t="s">
        <v>2083</v>
      </c>
      <c r="B25" s="636" t="s">
        <v>3389</v>
      </c>
      <c r="C25" s="636"/>
    </row>
    <row r="26" spans="1:3" ht="79.5" customHeight="1" x14ac:dyDescent="0.25">
      <c r="A26" s="434" t="s">
        <v>3388</v>
      </c>
      <c r="B26" s="637" t="s">
        <v>360</v>
      </c>
      <c r="C26" s="637"/>
    </row>
    <row r="27" spans="1:3" ht="37.5" customHeight="1" x14ac:dyDescent="0.25">
      <c r="A27" s="434" t="s">
        <v>4230</v>
      </c>
      <c r="B27" s="637" t="s">
        <v>484</v>
      </c>
      <c r="C27" s="637"/>
    </row>
    <row r="28" spans="1:3" ht="37.5" customHeight="1" x14ac:dyDescent="0.25">
      <c r="A28" s="434" t="s">
        <v>486</v>
      </c>
      <c r="B28" s="637" t="s">
        <v>485</v>
      </c>
      <c r="C28" s="637"/>
    </row>
    <row r="29" spans="1:3" x14ac:dyDescent="0.25"/>
  </sheetData>
  <sheetProtection password="C79A" sheet="1" objects="1" scenarios="1"/>
  <mergeCells count="28">
    <mergeCell ref="B28:C28"/>
    <mergeCell ref="A1:C1"/>
    <mergeCell ref="B2:C2"/>
    <mergeCell ref="B3:C3"/>
    <mergeCell ref="B8:C8"/>
    <mergeCell ref="B7:C7"/>
    <mergeCell ref="B6:C6"/>
    <mergeCell ref="B5:C5"/>
    <mergeCell ref="B4:C4"/>
    <mergeCell ref="B15:C15"/>
    <mergeCell ref="B18:C18"/>
    <mergeCell ref="B9:C9"/>
    <mergeCell ref="B10:C10"/>
    <mergeCell ref="B13:C13"/>
    <mergeCell ref="B12:C12"/>
    <mergeCell ref="B11:C11"/>
    <mergeCell ref="B14:C14"/>
    <mergeCell ref="B17:C17"/>
    <mergeCell ref="B27:C27"/>
    <mergeCell ref="B23:C23"/>
    <mergeCell ref="B16:C16"/>
    <mergeCell ref="B21:C21"/>
    <mergeCell ref="B26:C26"/>
    <mergeCell ref="B24:C24"/>
    <mergeCell ref="B22:C22"/>
    <mergeCell ref="B20:C20"/>
    <mergeCell ref="B25:C25"/>
    <mergeCell ref="B19:C19"/>
  </mergeCells>
  <phoneticPr fontId="10" type="noConversion"/>
  <printOptions horizontalCentered="1"/>
  <pageMargins left="0.59027777777777779" right="0.59027777777777779" top="0.78749999999999998" bottom="0.98402777777777772" header="0.51180555555555551" footer="0.51180555555555551"/>
  <pageSetup paperSize="9" scale="87"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IU30"/>
  <sheetViews>
    <sheetView showGridLines="0" showRowColHeaders="0" topLeftCell="A22" workbookViewId="0"/>
  </sheetViews>
  <sheetFormatPr defaultColWidth="0" defaultRowHeight="13.2" zeroHeight="1" x14ac:dyDescent="0.25"/>
  <cols>
    <col min="1" max="2" width="56.6640625" customWidth="1"/>
    <col min="3" max="3" width="0.88671875" customWidth="1"/>
    <col min="4" max="255" width="9.109375" hidden="1" customWidth="1"/>
  </cols>
  <sheetData>
    <row r="1" spans="1:2" ht="15" customHeight="1" x14ac:dyDescent="0.25">
      <c r="A1" s="148"/>
      <c r="B1" s="149" t="s">
        <v>3705</v>
      </c>
    </row>
    <row r="2" spans="1:2" ht="17.399999999999999" x14ac:dyDescent="0.3">
      <c r="A2" s="454" t="s">
        <v>1884</v>
      </c>
      <c r="B2" s="453"/>
    </row>
    <row r="3" spans="1:2" x14ac:dyDescent="0.25">
      <c r="A3" s="452" t="str">
        <f xml:space="preserve"> "Ver. " &amp; MID(Skriveni!K36,1,1) &amp; "." &amp; MID(Skriveni!K36,2,1) &amp; "." &amp; MID(Skriveni!K36,3,1) &amp; "."</f>
        <v>Ver. 3.0.6.</v>
      </c>
      <c r="B3" s="453"/>
    </row>
    <row r="4" spans="1:2" ht="99" customHeight="1" x14ac:dyDescent="0.25">
      <c r="A4" s="459" t="s">
        <v>514</v>
      </c>
      <c r="B4" s="460"/>
    </row>
    <row r="5" spans="1:2" ht="83.25" customHeight="1" x14ac:dyDescent="0.25">
      <c r="A5" s="458" t="s">
        <v>715</v>
      </c>
      <c r="B5" s="463"/>
    </row>
    <row r="6" spans="1:2" ht="98.25" customHeight="1" x14ac:dyDescent="0.25">
      <c r="A6" s="461" t="s">
        <v>1056</v>
      </c>
      <c r="B6" s="462"/>
    </row>
    <row r="7" spans="1:2" ht="63" customHeight="1" x14ac:dyDescent="0.25">
      <c r="A7" s="458" t="s">
        <v>293</v>
      </c>
      <c r="B7" s="456"/>
    </row>
    <row r="8" spans="1:2" ht="80.25" customHeight="1" x14ac:dyDescent="0.25">
      <c r="A8" s="458" t="s">
        <v>732</v>
      </c>
      <c r="B8" s="456"/>
    </row>
    <row r="9" spans="1:2" ht="40.5" customHeight="1" x14ac:dyDescent="0.25">
      <c r="A9" s="458" t="s">
        <v>1959</v>
      </c>
      <c r="B9" s="456"/>
    </row>
    <row r="10" spans="1:2" ht="73.5" customHeight="1" x14ac:dyDescent="0.25">
      <c r="A10" s="455" t="s">
        <v>160</v>
      </c>
      <c r="B10" s="456"/>
    </row>
    <row r="11" spans="1:2" ht="42.75" customHeight="1" x14ac:dyDescent="0.25">
      <c r="A11" s="458" t="s">
        <v>3304</v>
      </c>
      <c r="B11" s="456"/>
    </row>
    <row r="12" spans="1:2" ht="66" customHeight="1" x14ac:dyDescent="0.25">
      <c r="A12" s="455" t="s">
        <v>2971</v>
      </c>
      <c r="B12" s="456"/>
    </row>
    <row r="13" spans="1:2" ht="73.5" customHeight="1" x14ac:dyDescent="0.25">
      <c r="A13" s="457" t="s">
        <v>731</v>
      </c>
      <c r="B13" s="456"/>
    </row>
    <row r="14" spans="1:2" ht="53.25" customHeight="1" x14ac:dyDescent="0.25">
      <c r="A14" s="458" t="s">
        <v>899</v>
      </c>
      <c r="B14" s="456"/>
    </row>
    <row r="15" spans="1:2" ht="63" customHeight="1" x14ac:dyDescent="0.25">
      <c r="A15" s="455" t="s">
        <v>4494</v>
      </c>
      <c r="B15" s="456"/>
    </row>
    <row r="16" spans="1:2" ht="53.25" customHeight="1" x14ac:dyDescent="0.25">
      <c r="A16" s="455" t="s">
        <v>3432</v>
      </c>
      <c r="B16" s="456"/>
    </row>
    <row r="17" spans="1:2" ht="53.25" customHeight="1" x14ac:dyDescent="0.25">
      <c r="A17" s="455" t="s">
        <v>976</v>
      </c>
      <c r="B17" s="456"/>
    </row>
    <row r="18" spans="1:2" ht="30.75" customHeight="1" x14ac:dyDescent="0.25">
      <c r="A18" s="455" t="s">
        <v>977</v>
      </c>
      <c r="B18" s="456"/>
    </row>
    <row r="19" spans="1:2" ht="43.5" customHeight="1" x14ac:dyDescent="0.25">
      <c r="A19" s="455" t="s">
        <v>4497</v>
      </c>
      <c r="B19" s="456"/>
    </row>
    <row r="20" spans="1:2" ht="64.5" customHeight="1" x14ac:dyDescent="0.25">
      <c r="A20" s="457" t="s">
        <v>801</v>
      </c>
      <c r="B20" s="456"/>
    </row>
    <row r="21" spans="1:2" ht="102" customHeight="1" x14ac:dyDescent="0.25">
      <c r="A21" s="458" t="s">
        <v>800</v>
      </c>
      <c r="B21" s="456"/>
    </row>
    <row r="22" spans="1:2" ht="109.5" customHeight="1" x14ac:dyDescent="0.25">
      <c r="A22" s="455" t="s">
        <v>2379</v>
      </c>
      <c r="B22" s="456"/>
    </row>
    <row r="23" spans="1:2" ht="34.5" customHeight="1" x14ac:dyDescent="0.25">
      <c r="A23" s="450" t="s">
        <v>2506</v>
      </c>
      <c r="B23" s="451"/>
    </row>
    <row r="24" spans="1:2" ht="5.0999999999999996" customHeight="1" x14ac:dyDescent="0.25"/>
    <row r="25" spans="1:2" hidden="1" x14ac:dyDescent="0.25"/>
    <row r="26" spans="1:2" hidden="1" x14ac:dyDescent="0.25"/>
    <row r="27" spans="1:2" hidden="1" x14ac:dyDescent="0.25"/>
    <row r="28" spans="1:2" hidden="1" x14ac:dyDescent="0.25"/>
    <row r="29" spans="1:2" x14ac:dyDescent="0.25"/>
    <row r="30" spans="1:2" x14ac:dyDescent="0.25"/>
  </sheetData>
  <sheetProtection password="C79A" sheet="1" objects="1" scenarios="1"/>
  <mergeCells count="22">
    <mergeCell ref="A10:B10"/>
    <mergeCell ref="A14:B14"/>
    <mergeCell ref="A15:B15"/>
    <mergeCell ref="A12:B12"/>
    <mergeCell ref="A13:B13"/>
    <mergeCell ref="A11:B11"/>
    <mergeCell ref="A23:B23"/>
    <mergeCell ref="A3:B3"/>
    <mergeCell ref="A2:B2"/>
    <mergeCell ref="A18:B18"/>
    <mergeCell ref="A19:B19"/>
    <mergeCell ref="A20:B20"/>
    <mergeCell ref="A21:B21"/>
    <mergeCell ref="A22:B22"/>
    <mergeCell ref="A4:B4"/>
    <mergeCell ref="A7:B7"/>
    <mergeCell ref="A8:B8"/>
    <mergeCell ref="A6:B6"/>
    <mergeCell ref="A9:B9"/>
    <mergeCell ref="A5:B5"/>
    <mergeCell ref="A17:B17"/>
    <mergeCell ref="A16:B16"/>
  </mergeCells>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4"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W654"/>
  <sheetViews>
    <sheetView showGridLines="0" showRowColHeaders="0" workbookViewId="0">
      <selection activeCell="B10" sqref="B10:I10"/>
    </sheetView>
  </sheetViews>
  <sheetFormatPr defaultColWidth="0" defaultRowHeight="13.2"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4" width="9.109375" style="1" hidden="1" customWidth="1"/>
    <col min="15" max="15" width="43.6640625" style="1" hidden="1" customWidth="1"/>
    <col min="16" max="16" width="39" style="1" hidden="1" customWidth="1"/>
    <col min="17" max="17" width="45" style="1" hidden="1" customWidth="1"/>
    <col min="18" max="18" width="20.6640625" style="1" hidden="1" customWidth="1"/>
    <col min="19" max="16384" width="9.109375" style="1" hidden="1"/>
  </cols>
  <sheetData>
    <row r="1" spans="1:19" s="41" customFormat="1" ht="19.5" customHeight="1" x14ac:dyDescent="0.25">
      <c r="A1" s="515" t="s">
        <v>1091</v>
      </c>
      <c r="B1" s="516"/>
      <c r="C1" s="517" t="s">
        <v>1934</v>
      </c>
      <c r="D1" s="517"/>
      <c r="E1" s="517" t="s">
        <v>1935</v>
      </c>
      <c r="F1" s="517"/>
      <c r="G1" s="517" t="s">
        <v>1936</v>
      </c>
      <c r="H1" s="517"/>
      <c r="I1" s="517"/>
      <c r="J1" s="517" t="s">
        <v>1955</v>
      </c>
      <c r="K1" s="518"/>
    </row>
    <row r="2" spans="1:19" ht="32.1" customHeight="1" x14ac:dyDescent="0.25">
      <c r="A2" s="42"/>
      <c r="B2" s="42"/>
      <c r="C2" s="42"/>
      <c r="D2" s="42"/>
      <c r="E2" s="42"/>
      <c r="F2" s="42"/>
      <c r="G2" s="42"/>
      <c r="H2" s="42"/>
      <c r="I2" s="42"/>
      <c r="J2" s="519" t="s">
        <v>281</v>
      </c>
      <c r="K2" s="519"/>
    </row>
    <row r="3" spans="1:19" ht="5.0999999999999996" customHeight="1" x14ac:dyDescent="0.25">
      <c r="B3" s="7"/>
      <c r="C3" s="7"/>
      <c r="D3" s="7"/>
      <c r="E3" s="7"/>
      <c r="F3" s="7"/>
      <c r="G3" s="7"/>
      <c r="H3" s="7"/>
      <c r="I3" s="7"/>
    </row>
    <row r="4" spans="1:19" ht="35.1" customHeight="1" x14ac:dyDescent="0.4">
      <c r="A4" s="520" t="s">
        <v>3441</v>
      </c>
      <c r="B4" s="520"/>
      <c r="C4" s="520"/>
      <c r="D4" s="520"/>
      <c r="E4" s="520"/>
      <c r="F4" s="520"/>
      <c r="G4" s="520"/>
      <c r="H4" s="520"/>
      <c r="I4" s="520"/>
      <c r="J4" s="520"/>
      <c r="K4" s="520"/>
    </row>
    <row r="5" spans="1:19" ht="39.9" customHeight="1" x14ac:dyDescent="0.25">
      <c r="A5" s="526" t="str">
        <f>IF(AND(K10&lt;&gt;"",K12&lt;&gt;""), "za razdoblje: " &amp; TEXT(K10, "d. mmmm yyyy.") &amp; "   –   " &amp; TEXT(K12, "d. mmmm yyyy."),"za razdoblje od ________________ do ______________")</f>
        <v>za razdoblje: 1. siječanj 2014.   –   31. prosinac 2014.</v>
      </c>
      <c r="B5" s="526"/>
      <c r="C5" s="526"/>
      <c r="D5" s="526"/>
      <c r="E5" s="526"/>
      <c r="F5" s="526"/>
      <c r="G5" s="526"/>
      <c r="H5" s="526"/>
      <c r="I5" s="526"/>
      <c r="J5" s="526"/>
      <c r="K5" s="526"/>
    </row>
    <row r="6" spans="1:19" ht="15" customHeight="1" x14ac:dyDescent="0.25">
      <c r="A6" s="53" t="s">
        <v>4050</v>
      </c>
      <c r="B6" s="89">
        <v>281186</v>
      </c>
      <c r="C6" s="32"/>
      <c r="D6" s="524" t="s">
        <v>4054</v>
      </c>
      <c r="E6" s="525"/>
      <c r="F6" s="35" t="s">
        <v>4267</v>
      </c>
      <c r="G6" s="32"/>
      <c r="H6" s="32"/>
      <c r="I6" s="32"/>
      <c r="J6" s="527">
        <f>SUM(Skriveni!G2:G1975)</f>
        <v>96684477.755999982</v>
      </c>
      <c r="K6" s="527"/>
    </row>
    <row r="7" spans="1:19" ht="3" customHeight="1" x14ac:dyDescent="0.25">
      <c r="A7" s="32"/>
      <c r="B7" s="32"/>
      <c r="C7" s="32"/>
      <c r="D7" s="32"/>
      <c r="E7" s="32"/>
      <c r="F7" s="32"/>
      <c r="G7" s="32"/>
      <c r="H7" s="32"/>
      <c r="I7" s="32"/>
      <c r="J7" s="32"/>
      <c r="K7" s="32"/>
    </row>
    <row r="8" spans="1:19" ht="15" customHeight="1" x14ac:dyDescent="0.25">
      <c r="A8" s="53" t="s">
        <v>4051</v>
      </c>
      <c r="B8" s="448">
        <v>2745658</v>
      </c>
      <c r="C8" s="32"/>
      <c r="D8" s="33"/>
      <c r="E8" s="36"/>
      <c r="F8" s="32"/>
      <c r="G8" s="32"/>
      <c r="H8" s="32"/>
      <c r="I8" s="32"/>
      <c r="J8" s="476" t="s">
        <v>4058</v>
      </c>
      <c r="K8" s="476"/>
      <c r="P8" s="137">
        <v>1</v>
      </c>
      <c r="Q8" s="137" t="s">
        <v>4453</v>
      </c>
      <c r="R8" s="1">
        <v>11</v>
      </c>
      <c r="S8" s="1" t="s">
        <v>4234</v>
      </c>
    </row>
    <row r="9" spans="1:19" ht="3" customHeight="1" x14ac:dyDescent="0.25">
      <c r="A9" s="32"/>
      <c r="B9" s="32"/>
      <c r="C9" s="32"/>
      <c r="D9" s="32"/>
      <c r="E9" s="32"/>
      <c r="F9" s="32"/>
      <c r="G9" s="32"/>
      <c r="H9" s="32"/>
      <c r="I9" s="32"/>
      <c r="J9" s="32"/>
      <c r="K9" s="32"/>
      <c r="P9" s="137">
        <v>2</v>
      </c>
      <c r="Q9" s="137" t="s">
        <v>4454</v>
      </c>
      <c r="R9" s="1">
        <v>12</v>
      </c>
      <c r="S9" s="1" t="s">
        <v>4235</v>
      </c>
    </row>
    <row r="10" spans="1:19" ht="15" customHeight="1" x14ac:dyDescent="0.25">
      <c r="A10" s="53" t="s">
        <v>4052</v>
      </c>
      <c r="B10" s="477" t="s">
        <v>4365</v>
      </c>
      <c r="C10" s="478"/>
      <c r="D10" s="478"/>
      <c r="E10" s="478"/>
      <c r="F10" s="478"/>
      <c r="G10" s="478"/>
      <c r="H10" s="478"/>
      <c r="I10" s="479"/>
      <c r="J10" s="53" t="s">
        <v>4077</v>
      </c>
      <c r="K10" s="49">
        <v>41640</v>
      </c>
      <c r="P10" s="137">
        <v>3</v>
      </c>
      <c r="Q10" s="137" t="s">
        <v>4455</v>
      </c>
      <c r="R10" s="1">
        <v>13</v>
      </c>
      <c r="S10" s="1" t="s">
        <v>2894</v>
      </c>
    </row>
    <row r="11" spans="1:19" ht="3" customHeight="1" x14ac:dyDescent="0.25">
      <c r="A11" s="32"/>
      <c r="B11" s="32"/>
      <c r="C11" s="32"/>
      <c r="D11" s="32"/>
      <c r="E11" s="32"/>
      <c r="F11" s="32"/>
      <c r="G11" s="32"/>
      <c r="H11" s="32"/>
      <c r="I11" s="32"/>
      <c r="J11" s="32"/>
      <c r="K11" s="32"/>
      <c r="P11" s="137">
        <v>4</v>
      </c>
      <c r="Q11" s="137" t="s">
        <v>4456</v>
      </c>
      <c r="R11" s="1">
        <v>21</v>
      </c>
      <c r="S11" s="1" t="s">
        <v>981</v>
      </c>
    </row>
    <row r="12" spans="1:19" ht="15" customHeight="1" x14ac:dyDescent="0.25">
      <c r="A12" s="53" t="s">
        <v>2164</v>
      </c>
      <c r="B12" s="90">
        <v>48306</v>
      </c>
      <c r="C12" s="521" t="s">
        <v>2222</v>
      </c>
      <c r="D12" s="522"/>
      <c r="E12" s="522"/>
      <c r="F12" s="522"/>
      <c r="G12" s="523"/>
      <c r="H12" s="32"/>
      <c r="I12" s="32"/>
      <c r="J12" s="53" t="s">
        <v>4078</v>
      </c>
      <c r="K12" s="49">
        <v>42004</v>
      </c>
      <c r="P12" s="137">
        <v>5</v>
      </c>
      <c r="Q12" s="137" t="s">
        <v>1071</v>
      </c>
      <c r="R12" s="1">
        <v>22</v>
      </c>
      <c r="S12" s="1" t="s">
        <v>982</v>
      </c>
    </row>
    <row r="13" spans="1:19" ht="3" customHeight="1" x14ac:dyDescent="0.25">
      <c r="A13" s="32"/>
      <c r="B13" s="32"/>
      <c r="C13" s="32"/>
      <c r="D13" s="32"/>
      <c r="E13" s="32"/>
      <c r="F13" s="32"/>
      <c r="G13" s="32"/>
      <c r="H13" s="32"/>
      <c r="I13" s="32"/>
      <c r="J13" s="32"/>
      <c r="K13" s="32"/>
      <c r="P13" s="137">
        <v>6</v>
      </c>
      <c r="Q13" s="137" t="s">
        <v>1072</v>
      </c>
      <c r="R13" s="1">
        <v>23</v>
      </c>
      <c r="S13" s="1" t="s">
        <v>983</v>
      </c>
    </row>
    <row r="14" spans="1:19" ht="15" customHeight="1" x14ac:dyDescent="0.25">
      <c r="A14" s="53" t="s">
        <v>4053</v>
      </c>
      <c r="B14" s="507" t="s">
        <v>4366</v>
      </c>
      <c r="C14" s="508"/>
      <c r="D14" s="508"/>
      <c r="E14" s="508"/>
      <c r="F14" s="508"/>
      <c r="G14" s="509"/>
      <c r="H14" s="32"/>
      <c r="I14" s="32"/>
      <c r="J14" s="53" t="s">
        <v>4381</v>
      </c>
      <c r="K14" s="449" t="s">
        <v>4367</v>
      </c>
      <c r="P14" s="137">
        <v>7</v>
      </c>
      <c r="Q14" s="137" t="s">
        <v>1073</v>
      </c>
      <c r="R14" s="1">
        <v>31</v>
      </c>
      <c r="S14" s="1" t="s">
        <v>2891</v>
      </c>
    </row>
    <row r="15" spans="1:19" ht="3" customHeight="1" x14ac:dyDescent="0.25">
      <c r="A15" s="32"/>
      <c r="B15" s="32"/>
      <c r="C15" s="32"/>
      <c r="D15" s="32"/>
      <c r="E15" s="32"/>
      <c r="F15" s="32"/>
      <c r="G15" s="32"/>
      <c r="H15" s="32"/>
      <c r="I15" s="32"/>
      <c r="J15" s="32"/>
      <c r="K15" s="32"/>
      <c r="P15" s="137">
        <v>8</v>
      </c>
      <c r="Q15" s="137" t="s">
        <v>1074</v>
      </c>
      <c r="R15" s="1">
        <v>41</v>
      </c>
      <c r="S15" s="1" t="s">
        <v>2892</v>
      </c>
    </row>
    <row r="16" spans="1:19" ht="15" customHeight="1" x14ac:dyDescent="0.25">
      <c r="A16" s="53" t="s">
        <v>4056</v>
      </c>
      <c r="B16" s="34">
        <v>22</v>
      </c>
      <c r="C16" s="513" t="str">
        <f>IF(B16&gt;0,LOOKUP(B16,R8:R16,S8:S16),"Razina nije upisana")</f>
        <v>proračun jedinice lokalne i područne (regionalne) samouprave</v>
      </c>
      <c r="D16" s="514"/>
      <c r="E16" s="514"/>
      <c r="F16" s="514"/>
      <c r="G16" s="514"/>
      <c r="H16" s="514"/>
      <c r="I16" s="514"/>
      <c r="J16" s="514"/>
      <c r="K16" s="514"/>
      <c r="P16" s="137">
        <v>9</v>
      </c>
      <c r="Q16" s="137" t="s">
        <v>1075</v>
      </c>
      <c r="R16" s="1">
        <v>42</v>
      </c>
      <c r="S16" s="1" t="s">
        <v>2893</v>
      </c>
    </row>
    <row r="17" spans="1:17" ht="3" customHeight="1" x14ac:dyDescent="0.25">
      <c r="A17" s="33"/>
      <c r="B17" s="32"/>
      <c r="C17" s="32"/>
      <c r="D17" s="32"/>
      <c r="E17" s="32"/>
      <c r="F17" s="32"/>
      <c r="G17" s="32"/>
      <c r="H17" s="32"/>
      <c r="I17" s="32"/>
      <c r="J17" s="32"/>
      <c r="K17" s="32"/>
      <c r="P17" s="137">
        <v>10</v>
      </c>
      <c r="Q17" s="137" t="s">
        <v>1076</v>
      </c>
    </row>
    <row r="18" spans="1:17" ht="15" customHeight="1" x14ac:dyDescent="0.25">
      <c r="A18" s="53" t="s">
        <v>4055</v>
      </c>
      <c r="B18" s="91">
        <v>8411</v>
      </c>
      <c r="C18" s="513" t="str">
        <f xml:space="preserve"> IF(B18&gt;0,LOOKUP(B18,Sifre!A249:A863,Sifre!B249:B863),"Djelatnost nije upisana")</f>
        <v>Opće djelatnosti javne uprave</v>
      </c>
      <c r="D18" s="514"/>
      <c r="E18" s="514"/>
      <c r="F18" s="514"/>
      <c r="G18" s="514"/>
      <c r="H18" s="514"/>
      <c r="I18" s="514"/>
      <c r="J18" s="514"/>
      <c r="K18" s="514"/>
      <c r="P18" s="137">
        <v>11</v>
      </c>
      <c r="Q18" s="137" t="s">
        <v>1077</v>
      </c>
    </row>
    <row r="19" spans="1:17" ht="3" customHeight="1" x14ac:dyDescent="0.25">
      <c r="A19" s="33"/>
      <c r="B19" s="32"/>
      <c r="C19" s="32"/>
      <c r="D19" s="32"/>
      <c r="E19" s="32"/>
      <c r="F19" s="32"/>
      <c r="G19" s="32"/>
      <c r="H19" s="32"/>
      <c r="I19" s="32"/>
      <c r="J19" s="32"/>
      <c r="K19" s="32"/>
      <c r="P19" s="137">
        <v>12</v>
      </c>
      <c r="Q19" s="137" t="s">
        <v>1078</v>
      </c>
    </row>
    <row r="20" spans="1:17" ht="15" customHeight="1" x14ac:dyDescent="0.25">
      <c r="A20" s="53" t="s">
        <v>4057</v>
      </c>
      <c r="B20" s="92">
        <v>0</v>
      </c>
      <c r="C20" s="513" t="str">
        <f>IF(B20&lt;&gt;"","Razdjel: " &amp; LOOKUP(B20,R66:R116,S66:S116),"Razdjel nije upisan")</f>
        <v>Razdjel: NEMA RAZDJELA</v>
      </c>
      <c r="D20" s="514"/>
      <c r="E20" s="514"/>
      <c r="F20" s="514"/>
      <c r="G20" s="514"/>
      <c r="H20" s="514"/>
      <c r="I20" s="514"/>
      <c r="J20" s="514"/>
      <c r="K20" s="514"/>
      <c r="P20" s="137">
        <v>13</v>
      </c>
      <c r="Q20" s="137" t="s">
        <v>1079</v>
      </c>
    </row>
    <row r="21" spans="1:17" ht="3" customHeight="1" x14ac:dyDescent="0.25">
      <c r="A21" s="33"/>
      <c r="B21" s="32"/>
      <c r="C21" s="32"/>
      <c r="D21" s="32"/>
      <c r="E21" s="32"/>
      <c r="F21" s="32"/>
      <c r="G21" s="32"/>
      <c r="H21" s="32"/>
      <c r="I21" s="32"/>
      <c r="J21" s="32"/>
      <c r="K21" s="32"/>
      <c r="P21" s="137">
        <v>14</v>
      </c>
      <c r="Q21" s="137" t="s">
        <v>1080</v>
      </c>
    </row>
    <row r="22" spans="1:17" ht="15" customHeight="1" x14ac:dyDescent="0.25">
      <c r="A22" s="164" t="s">
        <v>3442</v>
      </c>
      <c r="B22" s="93">
        <v>405</v>
      </c>
      <c r="C22" s="513" t="str">
        <f>IF(B22&gt;0, "Županija: " &amp; LOOKUP(N22,P8:P28,Q8:Q28) &amp; ", grad/općina: " &amp; LOOKUP(B22,N66:N622,O66:O622),"šifra grada/općine nije upisana")</f>
        <v>Županija: KOPRIVNIČKO-KRIŽEVAČKA, grad/općina: SOKOLOVAC</v>
      </c>
      <c r="D22" s="514"/>
      <c r="E22" s="514"/>
      <c r="F22" s="514"/>
      <c r="G22" s="514"/>
      <c r="H22" s="514"/>
      <c r="I22" s="514"/>
      <c r="J22" s="514"/>
      <c r="K22" s="514"/>
      <c r="N22" s="1">
        <f>LOOKUP(B22,N66:N622,P66:P622)</f>
        <v>6</v>
      </c>
      <c r="P22" s="137">
        <v>15</v>
      </c>
      <c r="Q22" s="137" t="s">
        <v>1081</v>
      </c>
    </row>
    <row r="23" spans="1:17" ht="3" customHeight="1" x14ac:dyDescent="0.25">
      <c r="A23" s="33"/>
      <c r="B23" s="32"/>
      <c r="C23" s="32"/>
      <c r="D23" s="32"/>
      <c r="E23" s="32"/>
      <c r="F23" s="32"/>
      <c r="G23" s="32"/>
      <c r="H23" s="32"/>
      <c r="I23" s="32"/>
      <c r="J23" s="32"/>
      <c r="K23" s="32"/>
      <c r="P23" s="137">
        <v>16</v>
      </c>
      <c r="Q23" s="137" t="s">
        <v>1082</v>
      </c>
    </row>
    <row r="24" spans="1:17" ht="9.9" customHeight="1" x14ac:dyDescent="0.25">
      <c r="A24" s="33"/>
      <c r="B24" s="119" t="s">
        <v>3467</v>
      </c>
      <c r="C24" s="32"/>
      <c r="D24" s="485" t="s">
        <v>4114</v>
      </c>
      <c r="E24" s="486"/>
      <c r="F24" s="486"/>
      <c r="G24" s="32"/>
      <c r="H24" s="32"/>
      <c r="I24" s="32"/>
      <c r="J24" s="32"/>
      <c r="K24" s="32"/>
      <c r="P24" s="137">
        <v>17</v>
      </c>
      <c r="Q24" s="137" t="s">
        <v>1083</v>
      </c>
    </row>
    <row r="25" spans="1:17" ht="15" customHeight="1" x14ac:dyDescent="0.25">
      <c r="A25" s="504" t="s">
        <v>4202</v>
      </c>
      <c r="B25" s="129" t="str">
        <f>IF(SUM(Skriveni!C2:F615)=0,"NE", "DA")</f>
        <v>DA</v>
      </c>
      <c r="C25" s="493" t="s">
        <v>2161</v>
      </c>
      <c r="D25" s="494"/>
      <c r="E25" s="128" t="str">
        <f>IF(AND(B25="DA",Kont!E26&gt;0),Kont!E26,"NE")</f>
        <v>NE</v>
      </c>
      <c r="F25" s="32"/>
      <c r="G25" s="53" t="s">
        <v>4197</v>
      </c>
      <c r="H25" s="490" t="s">
        <v>4519</v>
      </c>
      <c r="I25" s="491"/>
      <c r="J25" s="491"/>
      <c r="K25" s="492"/>
      <c r="P25" s="137">
        <v>18</v>
      </c>
      <c r="Q25" s="137" t="s">
        <v>1084</v>
      </c>
    </row>
    <row r="26" spans="1:17" ht="3" customHeight="1" x14ac:dyDescent="0.25">
      <c r="A26" s="505"/>
      <c r="B26" s="94"/>
      <c r="C26" s="95"/>
      <c r="D26" s="96"/>
      <c r="E26" s="97"/>
      <c r="F26" s="32"/>
      <c r="G26" s="33"/>
      <c r="H26" s="32"/>
      <c r="I26" s="32"/>
      <c r="J26" s="32"/>
      <c r="K26" s="32"/>
      <c r="P26" s="137">
        <v>19</v>
      </c>
      <c r="Q26" s="137" t="s">
        <v>1085</v>
      </c>
    </row>
    <row r="27" spans="1:17" ht="15" customHeight="1" x14ac:dyDescent="0.25">
      <c r="A27" s="505"/>
      <c r="B27" s="129" t="str">
        <f>IF(SUM(Skriveni!C901:C1165)&lt;&gt;0,"DA","NE")</f>
        <v>DA</v>
      </c>
      <c r="C27" s="493" t="s">
        <v>2162</v>
      </c>
      <c r="D27" s="494"/>
      <c r="E27" s="128" t="str">
        <f>IF(AND(B27="DA",Kont!E270&gt;0),Kont!E270,"NE")</f>
        <v>NE</v>
      </c>
      <c r="F27" s="32"/>
      <c r="G27" s="53" t="s">
        <v>4198</v>
      </c>
      <c r="H27" s="490" t="s">
        <v>4369</v>
      </c>
      <c r="I27" s="492"/>
      <c r="J27" s="33" t="s">
        <v>4199</v>
      </c>
      <c r="K27" s="35" t="s">
        <v>4369</v>
      </c>
      <c r="P27" s="137">
        <v>20</v>
      </c>
      <c r="Q27" s="137" t="s">
        <v>4233</v>
      </c>
    </row>
    <row r="28" spans="1:17" ht="3" customHeight="1" x14ac:dyDescent="0.25">
      <c r="A28" s="505"/>
      <c r="B28" s="94"/>
      <c r="C28" s="95"/>
      <c r="D28" s="96"/>
      <c r="E28" s="97"/>
      <c r="F28" s="32"/>
      <c r="G28" s="32"/>
      <c r="H28" s="32"/>
      <c r="I28" s="32"/>
      <c r="J28" s="32"/>
      <c r="K28" s="32"/>
      <c r="P28" s="137">
        <v>21</v>
      </c>
      <c r="Q28" s="137" t="s">
        <v>534</v>
      </c>
    </row>
    <row r="29" spans="1:17" ht="15" customHeight="1" x14ac:dyDescent="0.25">
      <c r="A29" s="505"/>
      <c r="B29" s="129" t="str">
        <f>IF(SUM(Skriveni!C1300:D1435)&lt;&gt;0,"DA","NE")</f>
        <v>DA</v>
      </c>
      <c r="C29" s="497" t="s">
        <v>2163</v>
      </c>
      <c r="D29" s="498"/>
      <c r="E29" s="128" t="str">
        <f>IF(AND(B29="DA",Kont!E319&gt;0),Kont!E319,"NE")</f>
        <v>NE</v>
      </c>
      <c r="F29" s="32"/>
      <c r="G29" s="33" t="s">
        <v>4200</v>
      </c>
      <c r="H29" s="510" t="s">
        <v>4370</v>
      </c>
      <c r="I29" s="511"/>
      <c r="J29" s="511"/>
      <c r="K29" s="512"/>
    </row>
    <row r="30" spans="1:17" ht="3" customHeight="1" x14ac:dyDescent="0.25">
      <c r="A30" s="505"/>
      <c r="B30" s="94"/>
      <c r="C30" s="95"/>
      <c r="D30" s="96"/>
      <c r="E30" s="97"/>
      <c r="F30" s="32"/>
      <c r="G30" s="32"/>
      <c r="H30" s="32"/>
      <c r="I30" s="32"/>
      <c r="J30" s="32"/>
      <c r="K30" s="32"/>
    </row>
    <row r="31" spans="1:17" ht="15" customHeight="1" x14ac:dyDescent="0.25">
      <c r="A31" s="505"/>
      <c r="B31" s="150" t="s">
        <v>4518</v>
      </c>
      <c r="C31" s="493" t="s">
        <v>1128</v>
      </c>
      <c r="D31" s="494"/>
      <c r="E31" s="128" t="str">
        <f>IF(AND(B31="DA",Kont!E265&gt;0),Kont!E265,"NE")</f>
        <v>NE</v>
      </c>
      <c r="F31" s="32"/>
      <c r="G31" s="33" t="s">
        <v>4201</v>
      </c>
      <c r="H31" s="510" t="s">
        <v>4370</v>
      </c>
      <c r="I31" s="511"/>
      <c r="J31" s="511"/>
      <c r="K31" s="512"/>
    </row>
    <row r="32" spans="1:17" ht="3" customHeight="1" x14ac:dyDescent="0.25">
      <c r="A32" s="505"/>
      <c r="B32" s="94"/>
      <c r="C32" s="95"/>
      <c r="D32" s="96"/>
      <c r="E32" s="97"/>
      <c r="F32" s="32"/>
      <c r="G32" s="32"/>
      <c r="H32" s="32"/>
      <c r="I32" s="32"/>
      <c r="J32" s="32"/>
      <c r="K32" s="32"/>
    </row>
    <row r="33" spans="1:23" ht="15" customHeight="1" x14ac:dyDescent="0.25">
      <c r="A33" s="505"/>
      <c r="B33" s="129" t="str">
        <f>IF(SUM(Skriveni!C1481:D1694)&lt;&gt;0,"DA","NE")</f>
        <v>DA</v>
      </c>
      <c r="C33" s="495" t="s">
        <v>909</v>
      </c>
      <c r="D33" s="496"/>
      <c r="E33" s="128" t="str">
        <f>IF(AND(B33="DA",Kont!E237&gt;0),Kont!E237,"NE")</f>
        <v>NE</v>
      </c>
      <c r="F33" s="32"/>
      <c r="G33" s="53" t="s">
        <v>17</v>
      </c>
      <c r="H33" s="507" t="s">
        <v>4368</v>
      </c>
      <c r="I33" s="508"/>
      <c r="J33" s="508"/>
      <c r="K33" s="509"/>
    </row>
    <row r="34" spans="1:23" ht="3" customHeight="1" x14ac:dyDescent="0.25">
      <c r="A34" s="505"/>
      <c r="B34" s="94"/>
      <c r="C34" s="95"/>
      <c r="D34" s="96"/>
      <c r="E34" s="97"/>
      <c r="F34" s="32"/>
      <c r="G34" s="32"/>
      <c r="H34" s="32"/>
      <c r="I34" s="32"/>
      <c r="J34" s="32"/>
      <c r="K34" s="32"/>
    </row>
    <row r="35" spans="1:23" ht="15" customHeight="1" x14ac:dyDescent="0.25">
      <c r="A35" s="505"/>
      <c r="B35" s="129" t="str">
        <f>IF(SUM(Skriveni!C1756:C1838)&lt;&gt;0,"DA","NE")</f>
        <v>DA</v>
      </c>
      <c r="C35" s="495" t="s">
        <v>4145</v>
      </c>
      <c r="D35" s="496"/>
      <c r="E35" s="128" t="str">
        <f>IF(AND(B35="DA",Kont!E261&gt;0),Kont!E261,"NE")</f>
        <v>NE</v>
      </c>
      <c r="F35" s="32"/>
      <c r="G35" s="32"/>
      <c r="H35" s="32"/>
      <c r="I35" s="32"/>
      <c r="J35" s="32"/>
      <c r="K35" s="32"/>
    </row>
    <row r="36" spans="1:23" ht="3" customHeight="1" x14ac:dyDescent="0.25">
      <c r="A36" s="505"/>
      <c r="B36" s="94"/>
      <c r="C36" s="95"/>
      <c r="D36" s="96"/>
      <c r="E36" s="97"/>
      <c r="F36" s="32"/>
      <c r="G36" s="32"/>
      <c r="H36" s="32"/>
      <c r="I36" s="32"/>
      <c r="J36" s="32"/>
      <c r="K36" s="32"/>
    </row>
    <row r="37" spans="1:23" ht="15" customHeight="1" x14ac:dyDescent="0.25">
      <c r="A37" s="506"/>
      <c r="B37" s="129" t="str">
        <f>IF(SUM(Skriveni!C1850:D1922)&lt;&gt;0,"DA","NE")</f>
        <v>NE</v>
      </c>
      <c r="C37" s="495" t="s">
        <v>1129</v>
      </c>
      <c r="D37" s="496"/>
      <c r="E37" s="128" t="str">
        <f>IF(AND(B37="DA",Kont!E300&gt;0),Kont!E300,"NE")</f>
        <v>NE</v>
      </c>
      <c r="F37" s="32"/>
      <c r="G37" s="130" t="s">
        <v>4115</v>
      </c>
      <c r="H37" s="487" t="str">
        <f>IF(Kont!E2&gt;0,"Nisu zadovoljene sve osnovne kontrole, broj kontrola: " &amp; Kont!E2,"Sve osnovne kontrole su zadovoljene")</f>
        <v>Sve osnovne kontrole su zadovoljene</v>
      </c>
      <c r="I37" s="488"/>
      <c r="J37" s="488"/>
      <c r="K37" s="489"/>
    </row>
    <row r="38" spans="1:23" ht="5.0999999999999996" customHeight="1" x14ac:dyDescent="0.25"/>
    <row r="39" spans="1:23" ht="29.25" customHeight="1" x14ac:dyDescent="0.25">
      <c r="A39" s="85" t="s">
        <v>1954</v>
      </c>
      <c r="B39" s="482" t="s">
        <v>4196</v>
      </c>
      <c r="C39" s="483"/>
      <c r="D39" s="483"/>
      <c r="E39" s="483"/>
      <c r="F39" s="483"/>
      <c r="G39" s="483"/>
      <c r="H39" s="484"/>
      <c r="I39" s="86" t="s">
        <v>2195</v>
      </c>
      <c r="J39" s="87" t="s">
        <v>4236</v>
      </c>
      <c r="K39" s="88" t="s">
        <v>4237</v>
      </c>
      <c r="N39" s="125" t="s">
        <v>4208</v>
      </c>
      <c r="O39" s="133" t="s">
        <v>846</v>
      </c>
      <c r="P39" s="133" t="s">
        <v>847</v>
      </c>
      <c r="Q39" s="133" t="s">
        <v>848</v>
      </c>
      <c r="R39" s="133" t="s">
        <v>849</v>
      </c>
      <c r="W39" s="136">
        <v>111</v>
      </c>
    </row>
    <row r="40" spans="1:23" ht="12.9" customHeight="1" x14ac:dyDescent="0.25">
      <c r="A40" s="464" t="s">
        <v>280</v>
      </c>
      <c r="B40" s="467" t="str">
        <f>PRRAS!B611</f>
        <v>UKUPNI PRIHODI I PRIMICI (AOP 377+384)</v>
      </c>
      <c r="C40" s="468"/>
      <c r="D40" s="468"/>
      <c r="E40" s="468"/>
      <c r="F40" s="468"/>
      <c r="G40" s="468"/>
      <c r="H40" s="469"/>
      <c r="I40" s="46">
        <f>PRRAS!C611</f>
        <v>598</v>
      </c>
      <c r="J40" s="37">
        <f>PRRAS!D611</f>
        <v>3117130</v>
      </c>
      <c r="K40" s="37">
        <f>PRRAS!E611</f>
        <v>3203693</v>
      </c>
      <c r="N40" s="124"/>
      <c r="O40" s="134"/>
      <c r="P40" s="135" t="s">
        <v>4380</v>
      </c>
      <c r="Q40" s="135" t="s">
        <v>4380</v>
      </c>
      <c r="R40" s="135" t="s">
        <v>4380</v>
      </c>
      <c r="W40" s="136">
        <v>112</v>
      </c>
    </row>
    <row r="41" spans="1:23" ht="12.9" customHeight="1" x14ac:dyDescent="0.25">
      <c r="A41" s="465"/>
      <c r="B41" s="470" t="str">
        <f>PRRAS!B612</f>
        <v>UKUPNI RASHODI I IZDACI (AOP 378+490)</v>
      </c>
      <c r="C41" s="471"/>
      <c r="D41" s="471"/>
      <c r="E41" s="471"/>
      <c r="F41" s="471"/>
      <c r="G41" s="471"/>
      <c r="H41" s="472"/>
      <c r="I41" s="47">
        <f>PRRAS!C612</f>
        <v>599</v>
      </c>
      <c r="J41" s="38">
        <f>PRRAS!D612</f>
        <v>2989421</v>
      </c>
      <c r="K41" s="38">
        <f>PRRAS!E612</f>
        <v>3329441</v>
      </c>
      <c r="N41" s="124" t="s">
        <v>802</v>
      </c>
      <c r="O41" s="134" t="s">
        <v>2097</v>
      </c>
      <c r="P41" s="135" t="s">
        <v>4380</v>
      </c>
      <c r="Q41" s="135" t="s">
        <v>4380</v>
      </c>
      <c r="R41" s="135" t="s">
        <v>4380</v>
      </c>
      <c r="W41" s="136">
        <v>113</v>
      </c>
    </row>
    <row r="42" spans="1:23" ht="12.9" customHeight="1" x14ac:dyDescent="0.25">
      <c r="A42" s="465"/>
      <c r="B42" s="470" t="str">
        <f>PRRAS!B613</f>
        <v>VIŠAK PRIHODA I PRIMITAKA (AOP 598-599)</v>
      </c>
      <c r="C42" s="471"/>
      <c r="D42" s="471"/>
      <c r="E42" s="471"/>
      <c r="F42" s="471"/>
      <c r="G42" s="471"/>
      <c r="H42" s="472"/>
      <c r="I42" s="47">
        <f>PRRAS!C613</f>
        <v>600</v>
      </c>
      <c r="J42" s="38">
        <f>PRRAS!D613</f>
        <v>127709</v>
      </c>
      <c r="K42" s="38">
        <f>PRRAS!E613</f>
        <v>0</v>
      </c>
      <c r="N42" s="124" t="s">
        <v>2098</v>
      </c>
      <c r="O42" s="134" t="s">
        <v>2127</v>
      </c>
      <c r="P42" s="135" t="s">
        <v>4380</v>
      </c>
      <c r="Q42" s="135" t="s">
        <v>4380</v>
      </c>
      <c r="R42" s="135" t="s">
        <v>4380</v>
      </c>
      <c r="W42" s="136">
        <v>114</v>
      </c>
    </row>
    <row r="43" spans="1:23" ht="12.9" customHeight="1" x14ac:dyDescent="0.25">
      <c r="A43" s="466"/>
      <c r="B43" s="473" t="str">
        <f>PRRAS!B614</f>
        <v>MANJAK PRIHODA I PRIMITAKA (AOP 599-598)</v>
      </c>
      <c r="C43" s="474"/>
      <c r="D43" s="474"/>
      <c r="E43" s="474"/>
      <c r="F43" s="474"/>
      <c r="G43" s="474"/>
      <c r="H43" s="475"/>
      <c r="I43" s="48">
        <f>PRRAS!C614</f>
        <v>601</v>
      </c>
      <c r="J43" s="39">
        <f>PRRAS!D614</f>
        <v>0</v>
      </c>
      <c r="K43" s="39">
        <f>PRRAS!E614</f>
        <v>125748</v>
      </c>
      <c r="N43" s="124" t="s">
        <v>2099</v>
      </c>
      <c r="O43" s="134" t="s">
        <v>2100</v>
      </c>
      <c r="P43" s="134" t="s">
        <v>2101</v>
      </c>
      <c r="Q43" s="134" t="s">
        <v>2101</v>
      </c>
      <c r="R43" s="135" t="s">
        <v>4380</v>
      </c>
      <c r="W43" s="136">
        <v>115</v>
      </c>
    </row>
    <row r="44" spans="1:23" ht="12.9" customHeight="1" x14ac:dyDescent="0.25">
      <c r="A44" s="464" t="s">
        <v>317</v>
      </c>
      <c r="B44" s="481" t="str">
        <f>NT!B237</f>
        <v xml:space="preserve">UKUPNI NETO PRIMICI (AOP 118+194+224-119-195-225) </v>
      </c>
      <c r="C44" s="468"/>
      <c r="D44" s="468"/>
      <c r="E44" s="468"/>
      <c r="F44" s="468"/>
      <c r="G44" s="468"/>
      <c r="H44" s="469"/>
      <c r="I44" s="46">
        <f>NT!C237</f>
        <v>226</v>
      </c>
      <c r="J44" s="37" t="s">
        <v>843</v>
      </c>
      <c r="K44" s="37">
        <f>NT!D237</f>
        <v>0</v>
      </c>
      <c r="N44" s="124" t="s">
        <v>2102</v>
      </c>
      <c r="O44" s="134" t="s">
        <v>2103</v>
      </c>
      <c r="P44" s="135" t="s">
        <v>4380</v>
      </c>
      <c r="Q44" s="135" t="s">
        <v>4380</v>
      </c>
      <c r="R44" s="135" t="s">
        <v>4380</v>
      </c>
      <c r="W44" s="136">
        <v>116</v>
      </c>
    </row>
    <row r="45" spans="1:23" ht="12.9" customHeight="1" x14ac:dyDescent="0.25">
      <c r="A45" s="465"/>
      <c r="B45" s="470" t="str">
        <f>NT!B238</f>
        <v xml:space="preserve">UKUPNI NETO IZDACI (AOP 119+195+225-118-194-224) </v>
      </c>
      <c r="C45" s="471"/>
      <c r="D45" s="471"/>
      <c r="E45" s="471"/>
      <c r="F45" s="471"/>
      <c r="G45" s="471"/>
      <c r="H45" s="472"/>
      <c r="I45" s="47">
        <f>NT!C238</f>
        <v>227</v>
      </c>
      <c r="J45" s="38" t="s">
        <v>843</v>
      </c>
      <c r="K45" s="38">
        <f>NT!D238</f>
        <v>38334</v>
      </c>
      <c r="N45" s="124" t="s">
        <v>2104</v>
      </c>
      <c r="O45" s="134" t="s">
        <v>2105</v>
      </c>
      <c r="P45" s="135" t="s">
        <v>4380</v>
      </c>
      <c r="Q45" s="135" t="s">
        <v>4380</v>
      </c>
      <c r="R45" s="135" t="s">
        <v>4380</v>
      </c>
      <c r="W45" s="136">
        <v>119</v>
      </c>
    </row>
    <row r="46" spans="1:23" ht="12.9" customHeight="1" x14ac:dyDescent="0.25">
      <c r="A46" s="465"/>
      <c r="B46" s="470" t="str">
        <f>NT!B239</f>
        <v>NOVČANA SREDSTVA NA POČETKU RAZDOBLJA</v>
      </c>
      <c r="C46" s="471"/>
      <c r="D46" s="471"/>
      <c r="E46" s="471"/>
      <c r="F46" s="471"/>
      <c r="G46" s="471"/>
      <c r="H46" s="472"/>
      <c r="I46" s="47">
        <f>NT!C239</f>
        <v>228</v>
      </c>
      <c r="J46" s="38" t="s">
        <v>843</v>
      </c>
      <c r="K46" s="38">
        <f>NT!D239</f>
        <v>476121</v>
      </c>
      <c r="N46" s="124" t="s">
        <v>2106</v>
      </c>
      <c r="O46" s="134" t="s">
        <v>2107</v>
      </c>
      <c r="P46" s="135" t="s">
        <v>2108</v>
      </c>
      <c r="Q46" s="135" t="s">
        <v>2109</v>
      </c>
      <c r="R46" s="135" t="s">
        <v>4380</v>
      </c>
      <c r="W46" s="136">
        <v>121</v>
      </c>
    </row>
    <row r="47" spans="1:23" ht="12.9" customHeight="1" x14ac:dyDescent="0.25">
      <c r="A47" s="466"/>
      <c r="B47" s="473" t="str">
        <f>NT!B240</f>
        <v>NOVČANA SREDSTVA NA KRAJU RAZDOBLJA</v>
      </c>
      <c r="C47" s="474"/>
      <c r="D47" s="474"/>
      <c r="E47" s="474"/>
      <c r="F47" s="474"/>
      <c r="G47" s="474"/>
      <c r="H47" s="475"/>
      <c r="I47" s="48">
        <f>NT!C240</f>
        <v>229</v>
      </c>
      <c r="J47" s="39" t="s">
        <v>843</v>
      </c>
      <c r="K47" s="39">
        <f>NT!D240</f>
        <v>437787</v>
      </c>
      <c r="N47" s="124" t="s">
        <v>2110</v>
      </c>
      <c r="O47" s="134" t="s">
        <v>2111</v>
      </c>
      <c r="P47" s="135" t="s">
        <v>4380</v>
      </c>
      <c r="Q47" s="135" t="s">
        <v>4380</v>
      </c>
      <c r="R47" s="135" t="s">
        <v>4380</v>
      </c>
      <c r="W47" s="136">
        <v>122</v>
      </c>
    </row>
    <row r="48" spans="1:23" ht="12.9" customHeight="1" x14ac:dyDescent="0.25">
      <c r="A48" s="464" t="s">
        <v>838</v>
      </c>
      <c r="B48" s="467" t="str">
        <f>RasF!B12</f>
        <v>Opće javne usluge (AOP 002+006+009+013 do 017)</v>
      </c>
      <c r="C48" s="468"/>
      <c r="D48" s="468"/>
      <c r="E48" s="468"/>
      <c r="F48" s="468"/>
      <c r="G48" s="468"/>
      <c r="H48" s="469"/>
      <c r="I48" s="46">
        <f>RasF!C12</f>
        <v>1</v>
      </c>
      <c r="J48" s="37">
        <f>RasF!D12</f>
        <v>1261341</v>
      </c>
      <c r="K48" s="37">
        <f>RasF!E12</f>
        <v>869402</v>
      </c>
      <c r="N48" s="124" t="s">
        <v>2112</v>
      </c>
      <c r="O48" s="134" t="s">
        <v>2113</v>
      </c>
      <c r="P48" s="135" t="s">
        <v>4380</v>
      </c>
      <c r="Q48" s="135" t="s">
        <v>4380</v>
      </c>
      <c r="R48" s="135" t="s">
        <v>4380</v>
      </c>
      <c r="W48" s="136">
        <v>123</v>
      </c>
    </row>
    <row r="49" spans="1:23" ht="12.9" customHeight="1" x14ac:dyDescent="0.25">
      <c r="A49" s="465"/>
      <c r="B49" s="480" t="str">
        <f>RasF!B42</f>
        <v>Ekonomski poslovi (AOP 032+035+039+046+050+056+057+062+070)</v>
      </c>
      <c r="C49" s="471"/>
      <c r="D49" s="471"/>
      <c r="E49" s="471"/>
      <c r="F49" s="471"/>
      <c r="G49" s="471"/>
      <c r="H49" s="472"/>
      <c r="I49" s="47">
        <f>RasF!C42</f>
        <v>31</v>
      </c>
      <c r="J49" s="38">
        <f>RasF!D42</f>
        <v>412698</v>
      </c>
      <c r="K49" s="38">
        <f>RasF!E42</f>
        <v>737571</v>
      </c>
      <c r="N49" s="124" t="s">
        <v>2114</v>
      </c>
      <c r="O49" s="134" t="s">
        <v>2115</v>
      </c>
      <c r="P49" s="135" t="s">
        <v>2116</v>
      </c>
      <c r="Q49" s="135" t="s">
        <v>2117</v>
      </c>
      <c r="R49" s="135" t="s">
        <v>4380</v>
      </c>
      <c r="W49" s="136">
        <v>124</v>
      </c>
    </row>
    <row r="50" spans="1:23" ht="12.9" customHeight="1" x14ac:dyDescent="0.25">
      <c r="A50" s="465"/>
      <c r="B50" s="480" t="str">
        <f>RasF!B95</f>
        <v>Rashodi vezani za stanovanje i kom. pogodnosti koji nisu drugdje svrstani</v>
      </c>
      <c r="C50" s="471"/>
      <c r="D50" s="471"/>
      <c r="E50" s="471"/>
      <c r="F50" s="471"/>
      <c r="G50" s="471"/>
      <c r="H50" s="472"/>
      <c r="I50" s="47">
        <f>RasF!C95</f>
        <v>84</v>
      </c>
      <c r="J50" s="38">
        <f>RasF!D95</f>
        <v>104677</v>
      </c>
      <c r="K50" s="38">
        <f>RasF!E95</f>
        <v>85632</v>
      </c>
      <c r="N50" s="124" t="s">
        <v>2118</v>
      </c>
      <c r="O50" s="134" t="s">
        <v>2119</v>
      </c>
      <c r="P50" s="135" t="s">
        <v>4380</v>
      </c>
      <c r="Q50" s="135" t="s">
        <v>4380</v>
      </c>
      <c r="R50" s="135" t="s">
        <v>4380</v>
      </c>
      <c r="W50" s="136">
        <v>125</v>
      </c>
    </row>
    <row r="51" spans="1:23" ht="12.9" customHeight="1" x14ac:dyDescent="0.25">
      <c r="A51" s="465"/>
      <c r="B51" s="480" t="str">
        <f>RasF!B121</f>
        <v>Obrazovanje (AOP 111+114+117+118+121 do 124)</v>
      </c>
      <c r="C51" s="471"/>
      <c r="D51" s="471"/>
      <c r="E51" s="471"/>
      <c r="F51" s="471"/>
      <c r="G51" s="471"/>
      <c r="H51" s="472"/>
      <c r="I51" s="47">
        <f>RasF!C121</f>
        <v>110</v>
      </c>
      <c r="J51" s="38">
        <f>RasF!D121</f>
        <v>117160</v>
      </c>
      <c r="K51" s="38">
        <f>RasF!E121</f>
        <v>167168</v>
      </c>
      <c r="N51" s="124" t="s">
        <v>2120</v>
      </c>
      <c r="O51" s="134" t="s">
        <v>2121</v>
      </c>
      <c r="P51" s="135" t="s">
        <v>4380</v>
      </c>
      <c r="Q51" s="135" t="s">
        <v>4380</v>
      </c>
      <c r="R51" s="135" t="s">
        <v>4380</v>
      </c>
      <c r="W51" s="136">
        <v>125</v>
      </c>
    </row>
    <row r="52" spans="1:23" ht="12.9" customHeight="1" x14ac:dyDescent="0.25">
      <c r="A52" s="466"/>
      <c r="B52" s="503" t="str">
        <f>RasF!B148</f>
        <v>Kontrolni zbroj (AOP 001+018+024+031+071+078+085+103+110+125)</v>
      </c>
      <c r="C52" s="474"/>
      <c r="D52" s="474"/>
      <c r="E52" s="474"/>
      <c r="F52" s="474"/>
      <c r="G52" s="474"/>
      <c r="H52" s="475"/>
      <c r="I52" s="48">
        <f>RasF!C148</f>
        <v>137</v>
      </c>
      <c r="J52" s="39">
        <f>RasF!D148</f>
        <v>2989420</v>
      </c>
      <c r="K52" s="39">
        <f>RasF!E148</f>
        <v>3329440</v>
      </c>
      <c r="N52" s="124" t="s">
        <v>2122</v>
      </c>
      <c r="O52" s="134" t="s">
        <v>2123</v>
      </c>
      <c r="P52" s="135" t="s">
        <v>2124</v>
      </c>
      <c r="Q52" s="135" t="s">
        <v>2125</v>
      </c>
      <c r="R52" s="135" t="s">
        <v>2126</v>
      </c>
      <c r="W52" s="136">
        <v>126</v>
      </c>
    </row>
    <row r="53" spans="1:23" ht="12.9" customHeight="1" x14ac:dyDescent="0.25">
      <c r="A53" s="464" t="s">
        <v>839</v>
      </c>
      <c r="B53" s="481" t="str">
        <f>PVRIO!B12</f>
        <v>Promjene u vrijednosti i obujmu imovine (AOP 002+018)</v>
      </c>
      <c r="C53" s="468"/>
      <c r="D53" s="468"/>
      <c r="E53" s="468"/>
      <c r="F53" s="468"/>
      <c r="G53" s="468"/>
      <c r="H53" s="469"/>
      <c r="I53" s="46">
        <f>PVRIO!C12</f>
        <v>1</v>
      </c>
      <c r="J53" s="37">
        <f>PVRIO!D12</f>
        <v>0</v>
      </c>
      <c r="K53" s="37">
        <f>PVRIO!E12</f>
        <v>0</v>
      </c>
      <c r="N53" s="124" t="s">
        <v>4240</v>
      </c>
      <c r="O53" s="134" t="s">
        <v>4241</v>
      </c>
      <c r="P53" s="135" t="s">
        <v>4380</v>
      </c>
      <c r="Q53" s="135" t="s">
        <v>4380</v>
      </c>
      <c r="R53" s="135" t="s">
        <v>4380</v>
      </c>
      <c r="W53" s="136">
        <v>127</v>
      </c>
    </row>
    <row r="54" spans="1:23" ht="12.9" customHeight="1" x14ac:dyDescent="0.25">
      <c r="A54" s="465"/>
      <c r="B54" s="470" t="str">
        <f>PVRIO!B29</f>
        <v>Promjene u obujmu imovine (AOP 019+026)</v>
      </c>
      <c r="C54" s="471"/>
      <c r="D54" s="471"/>
      <c r="E54" s="471"/>
      <c r="F54" s="471"/>
      <c r="G54" s="471"/>
      <c r="H54" s="472"/>
      <c r="I54" s="47">
        <f>PVRIO!C29</f>
        <v>18</v>
      </c>
      <c r="J54" s="38">
        <f>PVRIO!D29</f>
        <v>0</v>
      </c>
      <c r="K54" s="38">
        <f>PVRIO!E29</f>
        <v>0</v>
      </c>
      <c r="N54" s="124" t="s">
        <v>4242</v>
      </c>
      <c r="O54" s="134" t="s">
        <v>4243</v>
      </c>
      <c r="P54" s="135" t="s">
        <v>4380</v>
      </c>
      <c r="Q54" s="135" t="s">
        <v>4380</v>
      </c>
      <c r="R54" s="135" t="s">
        <v>4380</v>
      </c>
      <c r="W54" s="136">
        <v>128</v>
      </c>
    </row>
    <row r="55" spans="1:23" ht="12.9" customHeight="1" x14ac:dyDescent="0.25">
      <c r="A55" s="465"/>
      <c r="B55" s="470" t="str">
        <f>PVRIO!B45</f>
        <v>Promjene u vrijednosti (revalorizacija) i obujmu obveza (AOP 035+040)</v>
      </c>
      <c r="C55" s="471"/>
      <c r="D55" s="471"/>
      <c r="E55" s="471"/>
      <c r="F55" s="471"/>
      <c r="G55" s="471"/>
      <c r="H55" s="472"/>
      <c r="I55" s="47">
        <f>PVRIO!C45</f>
        <v>34</v>
      </c>
      <c r="J55" s="38">
        <f>PVRIO!D45</f>
        <v>0</v>
      </c>
      <c r="K55" s="38">
        <f>PVRIO!E45</f>
        <v>0</v>
      </c>
      <c r="N55" s="124" t="s">
        <v>4244</v>
      </c>
      <c r="O55" s="134" t="s">
        <v>4245</v>
      </c>
      <c r="P55" s="135" t="s">
        <v>4246</v>
      </c>
      <c r="Q55" s="135" t="s">
        <v>4246</v>
      </c>
      <c r="R55" s="135" t="s">
        <v>4380</v>
      </c>
      <c r="W55" s="136">
        <v>129</v>
      </c>
    </row>
    <row r="56" spans="1:23" ht="12.9" customHeight="1" x14ac:dyDescent="0.25">
      <c r="A56" s="466"/>
      <c r="B56" s="473" t="str">
        <f>PVRIO!B51</f>
        <v>Promjene u obujmu obveza (AOP 041 do 044)</v>
      </c>
      <c r="C56" s="474"/>
      <c r="D56" s="474"/>
      <c r="E56" s="474"/>
      <c r="F56" s="474"/>
      <c r="G56" s="474"/>
      <c r="H56" s="475"/>
      <c r="I56" s="48">
        <f>PVRIO!C51</f>
        <v>40</v>
      </c>
      <c r="J56" s="39">
        <f>PVRIO!D51</f>
        <v>0</v>
      </c>
      <c r="K56" s="39">
        <f>PVRIO!E51</f>
        <v>0</v>
      </c>
      <c r="N56" s="124" t="s">
        <v>4247</v>
      </c>
      <c r="O56" s="134" t="s">
        <v>4248</v>
      </c>
      <c r="P56" s="135" t="s">
        <v>4380</v>
      </c>
      <c r="Q56" s="135" t="s">
        <v>4380</v>
      </c>
      <c r="R56" s="135" t="s">
        <v>4380</v>
      </c>
      <c r="W56" s="136">
        <v>130</v>
      </c>
    </row>
    <row r="57" spans="1:23" ht="12.9" customHeight="1" x14ac:dyDescent="0.25">
      <c r="A57" s="464" t="s">
        <v>840</v>
      </c>
      <c r="B57" s="481" t="str">
        <f>Bil!B12</f>
        <v>IMOVINA (AOP 002+061)</v>
      </c>
      <c r="C57" s="468"/>
      <c r="D57" s="468"/>
      <c r="E57" s="468"/>
      <c r="F57" s="468"/>
      <c r="G57" s="468"/>
      <c r="H57" s="469"/>
      <c r="I57" s="46">
        <f>Bil!C12</f>
        <v>1</v>
      </c>
      <c r="J57" s="37">
        <f>Bil!D12</f>
        <v>9542508</v>
      </c>
      <c r="K57" s="37">
        <f>Bil!E12</f>
        <v>9329559</v>
      </c>
      <c r="N57" s="124" t="s">
        <v>4249</v>
      </c>
      <c r="O57" s="134" t="s">
        <v>4250</v>
      </c>
      <c r="P57" s="135" t="s">
        <v>4380</v>
      </c>
      <c r="Q57" s="135" t="s">
        <v>4380</v>
      </c>
      <c r="R57" s="135" t="s">
        <v>4380</v>
      </c>
      <c r="W57" s="136">
        <v>141</v>
      </c>
    </row>
    <row r="58" spans="1:23" ht="12.9" customHeight="1" x14ac:dyDescent="0.25">
      <c r="A58" s="465"/>
      <c r="B58" s="470" t="str">
        <f>Bil!B73</f>
        <v>Novac u banci i blagajni (AOP 063 do 066)</v>
      </c>
      <c r="C58" s="471"/>
      <c r="D58" s="471"/>
      <c r="E58" s="471"/>
      <c r="F58" s="471"/>
      <c r="G58" s="471"/>
      <c r="H58" s="472"/>
      <c r="I58" s="47">
        <f>Bil!C73</f>
        <v>62</v>
      </c>
      <c r="J58" s="38">
        <f>Bil!D73</f>
        <v>476121</v>
      </c>
      <c r="K58" s="38">
        <f>Bil!E73</f>
        <v>437787</v>
      </c>
      <c r="N58" s="124" t="s">
        <v>4251</v>
      </c>
      <c r="O58" s="134" t="s">
        <v>4252</v>
      </c>
      <c r="P58" s="134" t="s">
        <v>4253</v>
      </c>
      <c r="Q58" s="134" t="s">
        <v>4254</v>
      </c>
      <c r="R58" s="135" t="s">
        <v>4380</v>
      </c>
      <c r="W58" s="136">
        <v>142</v>
      </c>
    </row>
    <row r="59" spans="1:23" ht="12.9" customHeight="1" x14ac:dyDescent="0.25">
      <c r="A59" s="465"/>
      <c r="B59" s="470" t="str">
        <f>Bil!B136</f>
        <v>Dionice i udjeli u glavnici trgovačkih društava u javnom sektoru</v>
      </c>
      <c r="C59" s="471"/>
      <c r="D59" s="471"/>
      <c r="E59" s="471"/>
      <c r="F59" s="471"/>
      <c r="G59" s="471"/>
      <c r="H59" s="472"/>
      <c r="I59" s="47">
        <f>Bil!C136</f>
        <v>125</v>
      </c>
      <c r="J59" s="38">
        <f>Bil!D136</f>
        <v>134100</v>
      </c>
      <c r="K59" s="38">
        <f>Bil!E136</f>
        <v>134100</v>
      </c>
      <c r="N59" s="124" t="s">
        <v>4255</v>
      </c>
      <c r="O59" s="134" t="s">
        <v>4256</v>
      </c>
      <c r="P59" s="135" t="s">
        <v>4380</v>
      </c>
      <c r="Q59" s="135" t="s">
        <v>4380</v>
      </c>
      <c r="R59" s="135" t="s">
        <v>4380</v>
      </c>
      <c r="W59" s="136">
        <v>143</v>
      </c>
    </row>
    <row r="60" spans="1:23" ht="12.9" customHeight="1" x14ac:dyDescent="0.25">
      <c r="A60" s="466"/>
      <c r="B60" s="473" t="str">
        <f>Bil!B209</f>
        <v>Obveze za zajmove od inozemnih osiguravajućih društava</v>
      </c>
      <c r="C60" s="474"/>
      <c r="D60" s="474"/>
      <c r="E60" s="474"/>
      <c r="F60" s="474"/>
      <c r="G60" s="474"/>
      <c r="H60" s="475"/>
      <c r="I60" s="48">
        <f>Bil!C209</f>
        <v>198</v>
      </c>
      <c r="J60" s="39">
        <f>Bil!D209</f>
        <v>0</v>
      </c>
      <c r="K60" s="39">
        <f>Bil!E209</f>
        <v>0</v>
      </c>
      <c r="N60" s="124" t="s">
        <v>4257</v>
      </c>
      <c r="O60" s="134" t="s">
        <v>4258</v>
      </c>
      <c r="P60" s="135" t="s">
        <v>4380</v>
      </c>
      <c r="Q60" s="135" t="s">
        <v>4380</v>
      </c>
      <c r="R60" s="135" t="s">
        <v>4380</v>
      </c>
      <c r="W60" s="136">
        <v>144</v>
      </c>
    </row>
    <row r="61" spans="1:23" ht="12.9" customHeight="1" x14ac:dyDescent="0.25">
      <c r="A61" s="464" t="s">
        <v>841</v>
      </c>
      <c r="B61" s="481" t="str">
        <f>Obv!B12</f>
        <v>Stanje obveza na početku izvještajnog razdoblja (=AOP 036 iz prethodnog izvještaja)</v>
      </c>
      <c r="C61" s="468"/>
      <c r="D61" s="468"/>
      <c r="E61" s="468"/>
      <c r="F61" s="468"/>
      <c r="G61" s="468"/>
      <c r="H61" s="469"/>
      <c r="I61" s="46">
        <f>Obv!C12</f>
        <v>1</v>
      </c>
      <c r="J61" s="37" t="s">
        <v>843</v>
      </c>
      <c r="K61" s="37">
        <f>Obv!D12</f>
        <v>153148</v>
      </c>
      <c r="N61" s="124" t="s">
        <v>4259</v>
      </c>
      <c r="O61" s="134" t="s">
        <v>4260</v>
      </c>
      <c r="P61" s="134" t="s">
        <v>4261</v>
      </c>
      <c r="Q61" s="134" t="s">
        <v>4262</v>
      </c>
      <c r="R61" s="135" t="s">
        <v>4380</v>
      </c>
      <c r="W61" s="136">
        <v>145</v>
      </c>
    </row>
    <row r="62" spans="1:23" ht="12.9" customHeight="1" x14ac:dyDescent="0.25">
      <c r="A62" s="465"/>
      <c r="B62" s="480" t="str">
        <f>Obv!B47</f>
        <v>Stanje obveza na kraju izvještajnog razdoblja (AOP 001+002-019) i (AOP 037+090)</v>
      </c>
      <c r="C62" s="471"/>
      <c r="D62" s="471"/>
      <c r="E62" s="471"/>
      <c r="F62" s="471"/>
      <c r="G62" s="471"/>
      <c r="H62" s="472"/>
      <c r="I62" s="47">
        <f>Obv!C47</f>
        <v>36</v>
      </c>
      <c r="J62" s="38" t="s">
        <v>843</v>
      </c>
      <c r="K62" s="38">
        <f>Obv!D47</f>
        <v>391071</v>
      </c>
      <c r="N62" s="124" t="s">
        <v>4263</v>
      </c>
      <c r="O62" s="134" t="s">
        <v>4264</v>
      </c>
      <c r="P62" s="135" t="s">
        <v>4380</v>
      </c>
      <c r="Q62" s="135" t="s">
        <v>4380</v>
      </c>
      <c r="R62" s="135" t="s">
        <v>4380</v>
      </c>
      <c r="W62" s="136">
        <v>146</v>
      </c>
    </row>
    <row r="63" spans="1:23" ht="12.9" customHeight="1" x14ac:dyDescent="0.25">
      <c r="A63" s="465"/>
      <c r="B63" s="480" t="str">
        <f>Obv!B48</f>
        <v>Stanje dospjelih obveza na kraju izvještajnog razdoblja (AOP 038+043+079+084)</v>
      </c>
      <c r="C63" s="471"/>
      <c r="D63" s="471"/>
      <c r="E63" s="471"/>
      <c r="F63" s="471"/>
      <c r="G63" s="471"/>
      <c r="H63" s="472"/>
      <c r="I63" s="47">
        <f>Obv!C48</f>
        <v>37</v>
      </c>
      <c r="J63" s="38" t="s">
        <v>843</v>
      </c>
      <c r="K63" s="38">
        <f>Obv!D48</f>
        <v>192950</v>
      </c>
      <c r="N63" s="124" t="s">
        <v>4265</v>
      </c>
      <c r="O63" s="134" t="s">
        <v>4266</v>
      </c>
      <c r="P63" s="135" t="s">
        <v>4380</v>
      </c>
      <c r="Q63" s="135" t="s">
        <v>4380</v>
      </c>
      <c r="R63" s="135" t="s">
        <v>4380</v>
      </c>
      <c r="W63" s="136">
        <v>147</v>
      </c>
    </row>
    <row r="64" spans="1:23" ht="12.9" customHeight="1" x14ac:dyDescent="0.25">
      <c r="A64" s="466"/>
      <c r="B64" s="503" t="str">
        <f>Obv!B54</f>
        <v>Ukupno obveze za rashode poslovanja (AOP 044+049+054+059+064+069+074)</v>
      </c>
      <c r="C64" s="474"/>
      <c r="D64" s="474"/>
      <c r="E64" s="474"/>
      <c r="F64" s="474"/>
      <c r="G64" s="474"/>
      <c r="H64" s="475"/>
      <c r="I64" s="48">
        <f>Obv!C54</f>
        <v>43</v>
      </c>
      <c r="J64" s="39" t="s">
        <v>843</v>
      </c>
      <c r="K64" s="39">
        <f>Obv!D54</f>
        <v>191760</v>
      </c>
      <c r="N64" s="124" t="s">
        <v>4267</v>
      </c>
      <c r="O64" s="134" t="s">
        <v>4268</v>
      </c>
      <c r="P64" s="134" t="s">
        <v>4269</v>
      </c>
      <c r="Q64" s="134" t="s">
        <v>4270</v>
      </c>
      <c r="R64" s="134" t="s">
        <v>4271</v>
      </c>
      <c r="W64" s="136">
        <v>149</v>
      </c>
    </row>
    <row r="65" spans="1:23" ht="12.9" customHeight="1" x14ac:dyDescent="0.25">
      <c r="A65" s="464" t="s">
        <v>842</v>
      </c>
      <c r="B65" s="481" t="str">
        <f>SPRRAS!B12</f>
        <v xml:space="preserve">PRIHODI POSLOVANJA (AOP 002 do 007) </v>
      </c>
      <c r="C65" s="468"/>
      <c r="D65" s="468"/>
      <c r="E65" s="468"/>
      <c r="F65" s="468"/>
      <c r="G65" s="468"/>
      <c r="H65" s="469"/>
      <c r="I65" s="46">
        <f>SPRRAS!C12</f>
        <v>1</v>
      </c>
      <c r="J65" s="37">
        <f>SPRRAS!D12</f>
        <v>0</v>
      </c>
      <c r="K65" s="37">
        <f>SPRRAS!E12</f>
        <v>0</v>
      </c>
      <c r="W65" s="136">
        <v>150</v>
      </c>
    </row>
    <row r="66" spans="1:23" ht="12.9" customHeight="1" x14ac:dyDescent="0.25">
      <c r="A66" s="465"/>
      <c r="B66" s="470" t="str">
        <f>SPRRAS!B19</f>
        <v xml:space="preserve">RASHODI POSLOVANJA (AOP 009 do 015) </v>
      </c>
      <c r="C66" s="471"/>
      <c r="D66" s="471"/>
      <c r="E66" s="471"/>
      <c r="F66" s="471"/>
      <c r="G66" s="471"/>
      <c r="H66" s="472"/>
      <c r="I66" s="47">
        <f>SPRRAS!C19</f>
        <v>8</v>
      </c>
      <c r="J66" s="38">
        <f>SPRRAS!D19</f>
        <v>0</v>
      </c>
      <c r="K66" s="38">
        <f>SPRRAS!E19</f>
        <v>0</v>
      </c>
      <c r="N66" s="1">
        <v>1</v>
      </c>
      <c r="O66" s="1" t="s">
        <v>4383</v>
      </c>
      <c r="P66" s="1">
        <v>16</v>
      </c>
      <c r="R66" s="1">
        <v>0</v>
      </c>
      <c r="S66" s="1" t="s">
        <v>1533</v>
      </c>
      <c r="W66" s="136">
        <v>161</v>
      </c>
    </row>
    <row r="67" spans="1:23" ht="12.9" customHeight="1" x14ac:dyDescent="0.25">
      <c r="A67" s="465"/>
      <c r="B67" s="480" t="str">
        <f>SPRRAS!B38</f>
        <v>UKUPNI PRIHODI (AOP 001+020)</v>
      </c>
      <c r="C67" s="471"/>
      <c r="D67" s="471"/>
      <c r="E67" s="471"/>
      <c r="F67" s="471"/>
      <c r="G67" s="471"/>
      <c r="H67" s="472"/>
      <c r="I67" s="47">
        <f>SPRRAS!C38</f>
        <v>27</v>
      </c>
      <c r="J67" s="38">
        <f>SPRRAS!D38</f>
        <v>0</v>
      </c>
      <c r="K67" s="38">
        <f>SPRRAS!E38</f>
        <v>0</v>
      </c>
      <c r="N67" s="1">
        <v>2</v>
      </c>
      <c r="O67" s="1" t="s">
        <v>4384</v>
      </c>
      <c r="P67" s="1">
        <v>14</v>
      </c>
      <c r="R67" s="1">
        <v>10</v>
      </c>
      <c r="S67" s="1" t="s">
        <v>4021</v>
      </c>
      <c r="W67" s="136">
        <v>162</v>
      </c>
    </row>
    <row r="68" spans="1:23" ht="12.9" customHeight="1" x14ac:dyDescent="0.25">
      <c r="A68" s="466"/>
      <c r="B68" s="503" t="str">
        <f>SPRRAS!B53</f>
        <v>Rashodi za zaposlene kod korisnika (AOP 042+045+046)</v>
      </c>
      <c r="C68" s="474"/>
      <c r="D68" s="474"/>
      <c r="E68" s="474"/>
      <c r="F68" s="474"/>
      <c r="G68" s="474"/>
      <c r="H68" s="475"/>
      <c r="I68" s="48">
        <f>SPRRAS!C53</f>
        <v>41</v>
      </c>
      <c r="J68" s="39">
        <f>SPRRAS!D53</f>
        <v>0</v>
      </c>
      <c r="K68" s="39">
        <f>SPRRAS!E53</f>
        <v>0</v>
      </c>
      <c r="N68" s="1">
        <v>3</v>
      </c>
      <c r="O68" s="1" t="s">
        <v>4385</v>
      </c>
      <c r="P68" s="1">
        <v>16</v>
      </c>
      <c r="R68" s="1">
        <v>13</v>
      </c>
      <c r="S68" s="1" t="s">
        <v>452</v>
      </c>
      <c r="W68" s="136">
        <v>163</v>
      </c>
    </row>
    <row r="69" spans="1:23" ht="5.0999999999999996" customHeight="1" x14ac:dyDescent="0.25">
      <c r="A69" s="8"/>
      <c r="B69" s="9"/>
      <c r="C69" s="9"/>
      <c r="D69" s="9"/>
      <c r="E69" s="9"/>
      <c r="F69" s="9"/>
      <c r="G69" s="9"/>
      <c r="H69" s="9"/>
      <c r="I69" s="9"/>
      <c r="J69" s="10"/>
      <c r="K69" s="10"/>
      <c r="N69" s="1">
        <v>4</v>
      </c>
      <c r="O69" s="1" t="s">
        <v>4386</v>
      </c>
      <c r="P69" s="1">
        <v>8</v>
      </c>
      <c r="R69" s="1">
        <v>15</v>
      </c>
      <c r="S69" s="1" t="s">
        <v>453</v>
      </c>
      <c r="W69" s="136">
        <v>164</v>
      </c>
    </row>
    <row r="70" spans="1:23" ht="36.75" customHeight="1" x14ac:dyDescent="0.25">
      <c r="A70" s="151" t="s">
        <v>3707</v>
      </c>
      <c r="B70" s="9"/>
      <c r="C70" s="9"/>
      <c r="D70" s="9"/>
      <c r="E70" s="9"/>
      <c r="F70" s="9"/>
      <c r="G70" s="9"/>
      <c r="H70" s="9"/>
      <c r="I70" s="9"/>
      <c r="J70" s="502" t="str">
        <f xml:space="preserve"> "Verzija Excel datoteke: " &amp; MID(Skriveni!K36,1,1) &amp; "." &amp; MID(Skriveni!K36,2,1) &amp; "." &amp; MID(Skriveni!K36,3,1) &amp; "."</f>
        <v>Verzija Excel datoteke: 3.0.6.</v>
      </c>
      <c r="K70" s="502"/>
      <c r="N70" s="1">
        <v>5</v>
      </c>
      <c r="O70" s="1" t="s">
        <v>4387</v>
      </c>
      <c r="P70" s="1">
        <v>18</v>
      </c>
      <c r="R70" s="1">
        <v>17</v>
      </c>
      <c r="S70" s="1" t="s">
        <v>1812</v>
      </c>
      <c r="W70" s="136">
        <v>170</v>
      </c>
    </row>
    <row r="71" spans="1:23" ht="53.25" customHeight="1" x14ac:dyDescent="0.25">
      <c r="A71" s="43"/>
      <c r="B71" s="43"/>
      <c r="C71" s="43"/>
      <c r="D71" s="43"/>
      <c r="E71" s="43"/>
      <c r="F71" s="43"/>
      <c r="G71" s="44"/>
      <c r="H71" s="43"/>
      <c r="I71" s="43"/>
      <c r="J71" s="43"/>
      <c r="K71" s="43"/>
      <c r="N71" s="1">
        <v>6</v>
      </c>
      <c r="O71" s="1" t="s">
        <v>4388</v>
      </c>
      <c r="P71" s="1">
        <v>18</v>
      </c>
      <c r="R71" s="1">
        <v>18</v>
      </c>
      <c r="S71" s="1" t="s">
        <v>1505</v>
      </c>
      <c r="W71" s="136">
        <v>210</v>
      </c>
    </row>
    <row r="72" spans="1:23" ht="21.75" customHeight="1" x14ac:dyDescent="0.25">
      <c r="A72" s="499" t="s">
        <v>282</v>
      </c>
      <c r="B72" s="499"/>
      <c r="C72" s="499"/>
      <c r="D72" s="499"/>
      <c r="E72" s="40"/>
      <c r="F72" s="45" t="s">
        <v>3984</v>
      </c>
      <c r="G72" s="40"/>
      <c r="H72" s="500" t="s">
        <v>283</v>
      </c>
      <c r="I72" s="501"/>
      <c r="J72" s="501"/>
      <c r="K72" s="501"/>
      <c r="N72" s="1">
        <v>7</v>
      </c>
      <c r="O72" s="1" t="s">
        <v>4389</v>
      </c>
      <c r="P72" s="1">
        <v>4</v>
      </c>
      <c r="R72" s="1">
        <v>20</v>
      </c>
      <c r="S72" s="1" t="s">
        <v>1813</v>
      </c>
      <c r="W72" s="136">
        <v>220</v>
      </c>
    </row>
    <row r="73" spans="1:23" x14ac:dyDescent="0.25">
      <c r="N73" s="1">
        <v>8</v>
      </c>
      <c r="O73" s="1" t="s">
        <v>4390</v>
      </c>
      <c r="P73" s="1">
        <v>8</v>
      </c>
      <c r="R73" s="1">
        <v>25</v>
      </c>
      <c r="S73" s="1" t="s">
        <v>1814</v>
      </c>
      <c r="W73" s="136">
        <v>230</v>
      </c>
    </row>
    <row r="74" spans="1:23" x14ac:dyDescent="0.25">
      <c r="N74" s="1">
        <v>9</v>
      </c>
      <c r="O74" s="1" t="s">
        <v>4391</v>
      </c>
      <c r="P74" s="1">
        <v>17</v>
      </c>
      <c r="R74" s="1">
        <v>26</v>
      </c>
      <c r="S74" s="1" t="s">
        <v>3527</v>
      </c>
      <c r="W74" s="136">
        <v>240</v>
      </c>
    </row>
    <row r="75" spans="1:23" x14ac:dyDescent="0.25">
      <c r="N75" s="1">
        <v>10</v>
      </c>
      <c r="O75" s="1" t="s">
        <v>4392</v>
      </c>
      <c r="P75" s="1">
        <v>12</v>
      </c>
      <c r="R75" s="1">
        <v>27</v>
      </c>
      <c r="S75" s="1" t="s">
        <v>4009</v>
      </c>
      <c r="W75" s="136">
        <v>311</v>
      </c>
    </row>
    <row r="76" spans="1:23" x14ac:dyDescent="0.25">
      <c r="N76" s="1">
        <v>11</v>
      </c>
      <c r="O76" s="1" t="s">
        <v>4393</v>
      </c>
      <c r="P76" s="1">
        <v>2</v>
      </c>
      <c r="R76" s="1">
        <v>28</v>
      </c>
      <c r="S76" s="1" t="s">
        <v>1815</v>
      </c>
      <c r="W76" s="136">
        <v>312</v>
      </c>
    </row>
    <row r="77" spans="1:23" x14ac:dyDescent="0.25">
      <c r="N77" s="1">
        <v>12</v>
      </c>
      <c r="O77" s="1" t="s">
        <v>4394</v>
      </c>
      <c r="P77" s="1">
        <v>5</v>
      </c>
      <c r="R77" s="1">
        <v>29</v>
      </c>
      <c r="S77" s="1" t="s">
        <v>2084</v>
      </c>
      <c r="W77" s="136">
        <v>321</v>
      </c>
    </row>
    <row r="78" spans="1:23" x14ac:dyDescent="0.25">
      <c r="N78" s="1">
        <v>13</v>
      </c>
      <c r="O78" s="1" t="s">
        <v>4395</v>
      </c>
      <c r="P78" s="1">
        <v>14</v>
      </c>
      <c r="R78" s="1">
        <v>30</v>
      </c>
      <c r="S78" s="1" t="s">
        <v>1506</v>
      </c>
      <c r="W78" s="136">
        <v>322</v>
      </c>
    </row>
    <row r="79" spans="1:23" x14ac:dyDescent="0.25">
      <c r="N79" s="1">
        <v>15</v>
      </c>
      <c r="O79" s="1" t="s">
        <v>4396</v>
      </c>
      <c r="P79" s="1">
        <v>20</v>
      </c>
      <c r="R79" s="1">
        <v>32</v>
      </c>
      <c r="S79" s="1" t="s">
        <v>791</v>
      </c>
      <c r="W79" s="136">
        <v>510</v>
      </c>
    </row>
    <row r="80" spans="1:23" x14ac:dyDescent="0.25">
      <c r="N80" s="1">
        <v>16</v>
      </c>
      <c r="O80" s="1" t="s">
        <v>4397</v>
      </c>
      <c r="P80" s="1">
        <v>14</v>
      </c>
      <c r="R80" s="1">
        <v>33</v>
      </c>
      <c r="S80" s="1" t="s">
        <v>3387</v>
      </c>
      <c r="W80" s="136">
        <v>520</v>
      </c>
    </row>
    <row r="81" spans="14:23" x14ac:dyDescent="0.25">
      <c r="N81" s="1">
        <v>17</v>
      </c>
      <c r="O81" s="1" t="s">
        <v>4398</v>
      </c>
      <c r="P81" s="1">
        <v>13</v>
      </c>
      <c r="R81" s="1">
        <v>40</v>
      </c>
      <c r="S81" s="1" t="s">
        <v>3743</v>
      </c>
      <c r="W81" s="136">
        <v>610</v>
      </c>
    </row>
    <row r="82" spans="14:23" ht="5.0999999999999996" customHeight="1" x14ac:dyDescent="0.25">
      <c r="N82" s="1">
        <v>18</v>
      </c>
      <c r="O82" s="1" t="s">
        <v>4399</v>
      </c>
      <c r="P82" s="1">
        <v>7</v>
      </c>
      <c r="R82" s="1">
        <v>41</v>
      </c>
      <c r="S82" s="1" t="s">
        <v>3528</v>
      </c>
      <c r="W82" s="136">
        <v>620</v>
      </c>
    </row>
    <row r="83" spans="14:23" x14ac:dyDescent="0.25">
      <c r="N83" s="1">
        <v>19</v>
      </c>
      <c r="O83" s="1" t="s">
        <v>4400</v>
      </c>
      <c r="P83" s="1">
        <v>5</v>
      </c>
      <c r="R83" s="1">
        <v>48</v>
      </c>
      <c r="S83" s="1" t="s">
        <v>1816</v>
      </c>
      <c r="W83" s="136">
        <v>710</v>
      </c>
    </row>
    <row r="84" spans="14:23" x14ac:dyDescent="0.25">
      <c r="N84" s="1">
        <v>20</v>
      </c>
      <c r="O84" s="1" t="s">
        <v>4401</v>
      </c>
      <c r="P84" s="1">
        <v>13</v>
      </c>
      <c r="R84" s="1">
        <v>49</v>
      </c>
      <c r="S84" s="1" t="s">
        <v>3529</v>
      </c>
      <c r="W84" s="136">
        <v>721</v>
      </c>
    </row>
    <row r="85" spans="14:23" x14ac:dyDescent="0.25">
      <c r="N85" s="1">
        <v>21</v>
      </c>
      <c r="O85" s="1" t="s">
        <v>4402</v>
      </c>
      <c r="P85" s="1">
        <v>14</v>
      </c>
      <c r="R85" s="1">
        <v>51</v>
      </c>
      <c r="S85" s="1" t="s">
        <v>3530</v>
      </c>
      <c r="W85" s="136">
        <v>729</v>
      </c>
    </row>
    <row r="86" spans="14:23" x14ac:dyDescent="0.25">
      <c r="N86" s="1">
        <v>22</v>
      </c>
      <c r="O86" s="1" t="s">
        <v>4403</v>
      </c>
      <c r="P86" s="1">
        <v>13</v>
      </c>
      <c r="R86" s="1">
        <v>55</v>
      </c>
      <c r="S86" s="1" t="s">
        <v>3744</v>
      </c>
      <c r="W86" s="136">
        <v>811</v>
      </c>
    </row>
    <row r="87" spans="14:23" x14ac:dyDescent="0.25">
      <c r="N87" s="1">
        <v>23</v>
      </c>
      <c r="O87" s="1" t="s">
        <v>4404</v>
      </c>
      <c r="P87" s="1">
        <v>14</v>
      </c>
      <c r="R87" s="1">
        <v>60</v>
      </c>
      <c r="S87" s="1" t="s">
        <v>3531</v>
      </c>
      <c r="W87" s="136">
        <v>812</v>
      </c>
    </row>
    <row r="88" spans="14:23" x14ac:dyDescent="0.25">
      <c r="N88" s="1">
        <v>24</v>
      </c>
      <c r="O88" s="1" t="s">
        <v>4405</v>
      </c>
      <c r="P88" s="1">
        <v>7</v>
      </c>
      <c r="R88" s="1">
        <v>61</v>
      </c>
      <c r="S88" s="1" t="s">
        <v>3532</v>
      </c>
      <c r="W88" s="136">
        <v>891</v>
      </c>
    </row>
    <row r="89" spans="14:23" x14ac:dyDescent="0.25">
      <c r="N89" s="1">
        <v>25</v>
      </c>
      <c r="O89" s="1" t="s">
        <v>4406</v>
      </c>
      <c r="P89" s="1">
        <v>19</v>
      </c>
      <c r="R89" s="1">
        <v>65</v>
      </c>
      <c r="S89" s="1" t="s">
        <v>1817</v>
      </c>
      <c r="W89" s="136">
        <v>892</v>
      </c>
    </row>
    <row r="90" spans="14:23" x14ac:dyDescent="0.25">
      <c r="N90" s="1">
        <v>26</v>
      </c>
      <c r="O90" s="1" t="s">
        <v>4407</v>
      </c>
      <c r="P90" s="1">
        <v>16</v>
      </c>
      <c r="R90" s="1">
        <v>76</v>
      </c>
      <c r="S90" s="1" t="s">
        <v>462</v>
      </c>
      <c r="W90" s="136">
        <v>893</v>
      </c>
    </row>
    <row r="91" spans="14:23" x14ac:dyDescent="0.25">
      <c r="N91" s="1">
        <v>27</v>
      </c>
      <c r="O91" s="1" t="s">
        <v>4408</v>
      </c>
      <c r="P91" s="1">
        <v>17</v>
      </c>
      <c r="R91" s="1">
        <v>77</v>
      </c>
      <c r="S91" s="1" t="s">
        <v>3533</v>
      </c>
      <c r="W91" s="136">
        <v>899</v>
      </c>
    </row>
    <row r="92" spans="14:23" x14ac:dyDescent="0.25">
      <c r="N92" s="1">
        <v>29</v>
      </c>
      <c r="O92" s="1" t="s">
        <v>4409</v>
      </c>
      <c r="P92" s="1">
        <v>16</v>
      </c>
      <c r="R92" s="1">
        <v>80</v>
      </c>
      <c r="S92" s="1" t="s">
        <v>1818</v>
      </c>
      <c r="W92" s="136">
        <v>910</v>
      </c>
    </row>
    <row r="93" spans="14:23" x14ac:dyDescent="0.25">
      <c r="N93" s="1">
        <v>30</v>
      </c>
      <c r="O93" s="1" t="s">
        <v>4410</v>
      </c>
      <c r="P93" s="1">
        <v>4</v>
      </c>
      <c r="R93" s="1">
        <v>86</v>
      </c>
      <c r="S93" s="1" t="s">
        <v>465</v>
      </c>
      <c r="W93" s="136">
        <v>990</v>
      </c>
    </row>
    <row r="94" spans="14:23" x14ac:dyDescent="0.25">
      <c r="N94" s="1">
        <v>32</v>
      </c>
      <c r="O94" s="1" t="s">
        <v>4411</v>
      </c>
      <c r="P94" s="1">
        <v>16</v>
      </c>
      <c r="R94" s="1">
        <v>90</v>
      </c>
      <c r="S94" s="1" t="s">
        <v>4071</v>
      </c>
      <c r="W94" s="136">
        <v>1011</v>
      </c>
    </row>
    <row r="95" spans="14:23" x14ac:dyDescent="0.25">
      <c r="N95" s="1">
        <v>33</v>
      </c>
      <c r="O95" s="1" t="s">
        <v>4412</v>
      </c>
      <c r="P95" s="1">
        <v>1</v>
      </c>
      <c r="R95" s="1">
        <v>95</v>
      </c>
      <c r="S95" s="1" t="s">
        <v>3303</v>
      </c>
      <c r="W95" s="136">
        <v>1012</v>
      </c>
    </row>
    <row r="96" spans="14:23" x14ac:dyDescent="0.25">
      <c r="N96" s="1">
        <v>34</v>
      </c>
      <c r="O96" s="1" t="s">
        <v>4413</v>
      </c>
      <c r="P96" s="1">
        <v>1</v>
      </c>
      <c r="R96" s="1">
        <v>96</v>
      </c>
      <c r="S96" s="1" t="s">
        <v>3383</v>
      </c>
      <c r="W96" s="136">
        <v>1013</v>
      </c>
    </row>
    <row r="97" spans="14:23" x14ac:dyDescent="0.25">
      <c r="N97" s="1">
        <v>35</v>
      </c>
      <c r="O97" s="1" t="s">
        <v>4414</v>
      </c>
      <c r="P97" s="1">
        <v>11</v>
      </c>
      <c r="R97" s="1">
        <v>102</v>
      </c>
      <c r="S97" s="1" t="s">
        <v>3384</v>
      </c>
      <c r="W97" s="136">
        <v>1020</v>
      </c>
    </row>
    <row r="98" spans="14:23" x14ac:dyDescent="0.25">
      <c r="N98" s="1">
        <v>36</v>
      </c>
      <c r="O98" s="1" t="s">
        <v>4415</v>
      </c>
      <c r="P98" s="1">
        <v>5</v>
      </c>
      <c r="R98" s="1">
        <v>106</v>
      </c>
      <c r="S98" s="1" t="s">
        <v>2834</v>
      </c>
      <c r="W98" s="136">
        <v>1031</v>
      </c>
    </row>
    <row r="99" spans="14:23" x14ac:dyDescent="0.25">
      <c r="N99" s="1">
        <v>37</v>
      </c>
      <c r="O99" s="1" t="s">
        <v>4416</v>
      </c>
      <c r="P99" s="1">
        <v>9</v>
      </c>
      <c r="R99" s="1">
        <v>110</v>
      </c>
      <c r="S99" s="1" t="s">
        <v>4168</v>
      </c>
      <c r="W99" s="136">
        <v>1032</v>
      </c>
    </row>
    <row r="100" spans="14:23" x14ac:dyDescent="0.25">
      <c r="N100" s="1">
        <v>38</v>
      </c>
      <c r="O100" s="1" t="s">
        <v>4417</v>
      </c>
      <c r="P100" s="1">
        <v>8</v>
      </c>
      <c r="R100" s="1">
        <v>120</v>
      </c>
      <c r="S100" s="1" t="s">
        <v>2835</v>
      </c>
      <c r="W100" s="136">
        <v>1039</v>
      </c>
    </row>
    <row r="101" spans="14:23" x14ac:dyDescent="0.25">
      <c r="N101" s="1">
        <v>39</v>
      </c>
      <c r="O101" s="1" t="s">
        <v>4418</v>
      </c>
      <c r="P101" s="1">
        <v>12</v>
      </c>
      <c r="R101" s="1">
        <v>121</v>
      </c>
      <c r="S101" s="1" t="s">
        <v>1819</v>
      </c>
      <c r="W101" s="136">
        <v>1041</v>
      </c>
    </row>
    <row r="102" spans="14:23" x14ac:dyDescent="0.25">
      <c r="N102" s="1">
        <v>40</v>
      </c>
      <c r="O102" s="1" t="s">
        <v>4419</v>
      </c>
      <c r="P102" s="1">
        <v>18</v>
      </c>
      <c r="R102" s="1">
        <v>122</v>
      </c>
      <c r="S102" s="1" t="s">
        <v>3265</v>
      </c>
      <c r="W102" s="136">
        <v>1042</v>
      </c>
    </row>
    <row r="103" spans="14:23" x14ac:dyDescent="0.25">
      <c r="N103" s="1">
        <v>41</v>
      </c>
      <c r="O103" s="1" t="s">
        <v>4420</v>
      </c>
      <c r="P103" s="1">
        <v>2</v>
      </c>
      <c r="R103" s="1">
        <v>123</v>
      </c>
      <c r="S103" s="1" t="s">
        <v>1820</v>
      </c>
      <c r="W103" s="136">
        <v>1051</v>
      </c>
    </row>
    <row r="104" spans="14:23" x14ac:dyDescent="0.25">
      <c r="N104" s="1">
        <v>42</v>
      </c>
      <c r="O104" s="1" t="s">
        <v>4421</v>
      </c>
      <c r="P104" s="1">
        <v>18</v>
      </c>
      <c r="R104" s="1">
        <v>160</v>
      </c>
      <c r="S104" s="1" t="s">
        <v>1370</v>
      </c>
      <c r="W104" s="136">
        <v>1052</v>
      </c>
    </row>
    <row r="105" spans="14:23" x14ac:dyDescent="0.25">
      <c r="N105" s="1">
        <v>43</v>
      </c>
      <c r="O105" s="1" t="s">
        <v>4422</v>
      </c>
      <c r="P105" s="1">
        <v>18</v>
      </c>
      <c r="R105" s="1">
        <v>185</v>
      </c>
      <c r="S105" s="1" t="s">
        <v>2133</v>
      </c>
      <c r="W105" s="136">
        <v>1061</v>
      </c>
    </row>
    <row r="106" spans="14:23" x14ac:dyDescent="0.25">
      <c r="N106" s="1">
        <v>44</v>
      </c>
      <c r="O106" s="1" t="s">
        <v>4423</v>
      </c>
      <c r="P106" s="1">
        <v>16</v>
      </c>
      <c r="R106" s="1">
        <v>196</v>
      </c>
      <c r="S106" s="1" t="s">
        <v>472</v>
      </c>
      <c r="W106" s="136">
        <v>1062</v>
      </c>
    </row>
    <row r="107" spans="14:23" x14ac:dyDescent="0.25">
      <c r="N107" s="1">
        <v>46</v>
      </c>
      <c r="O107" s="1" t="s">
        <v>4424</v>
      </c>
      <c r="P107" s="1">
        <v>12</v>
      </c>
      <c r="R107" s="1">
        <v>225</v>
      </c>
      <c r="S107" s="1" t="s">
        <v>2134</v>
      </c>
      <c r="W107" s="136">
        <v>1071</v>
      </c>
    </row>
    <row r="108" spans="14:23" x14ac:dyDescent="0.25">
      <c r="N108" s="1">
        <v>47</v>
      </c>
      <c r="O108" s="1" t="s">
        <v>4425</v>
      </c>
      <c r="P108" s="1">
        <v>18</v>
      </c>
      <c r="R108" s="1">
        <v>230</v>
      </c>
      <c r="S108" s="1" t="s">
        <v>2135</v>
      </c>
      <c r="W108" s="136">
        <v>1072</v>
      </c>
    </row>
    <row r="109" spans="14:23" x14ac:dyDescent="0.25">
      <c r="N109" s="1">
        <v>48</v>
      </c>
      <c r="O109" s="1" t="s">
        <v>4426</v>
      </c>
      <c r="P109" s="1">
        <v>5</v>
      </c>
      <c r="R109" s="1">
        <v>235</v>
      </c>
      <c r="S109" s="1" t="s">
        <v>475</v>
      </c>
      <c r="W109" s="136">
        <v>1073</v>
      </c>
    </row>
    <row r="110" spans="14:23" x14ac:dyDescent="0.25">
      <c r="N110" s="1">
        <v>49</v>
      </c>
      <c r="O110" s="1" t="s">
        <v>3177</v>
      </c>
      <c r="P110" s="1">
        <v>4</v>
      </c>
      <c r="R110" s="1">
        <v>240</v>
      </c>
      <c r="S110" s="1" t="s">
        <v>2783</v>
      </c>
      <c r="W110" s="136">
        <v>1081</v>
      </c>
    </row>
    <row r="111" spans="14:23" x14ac:dyDescent="0.25">
      <c r="N111" s="1">
        <v>50</v>
      </c>
      <c r="O111" s="1" t="s">
        <v>3178</v>
      </c>
      <c r="P111" s="1">
        <v>17</v>
      </c>
      <c r="R111" s="1">
        <v>241</v>
      </c>
      <c r="S111" s="1" t="s">
        <v>1821</v>
      </c>
      <c r="W111" s="136">
        <v>1082</v>
      </c>
    </row>
    <row r="112" spans="14:23" x14ac:dyDescent="0.25">
      <c r="N112" s="1">
        <v>51</v>
      </c>
      <c r="O112" s="1" t="s">
        <v>3179</v>
      </c>
      <c r="P112" s="1">
        <v>15</v>
      </c>
      <c r="R112" s="1">
        <v>242</v>
      </c>
      <c r="S112" s="1" t="s">
        <v>4070</v>
      </c>
      <c r="W112" s="136">
        <v>1083</v>
      </c>
    </row>
    <row r="113" spans="14:23" x14ac:dyDescent="0.25">
      <c r="N113" s="1">
        <v>52</v>
      </c>
      <c r="O113" s="1" t="s">
        <v>3180</v>
      </c>
      <c r="P113" s="1">
        <v>8</v>
      </c>
      <c r="R113" s="1">
        <v>250</v>
      </c>
      <c r="S113" s="1" t="s">
        <v>4478</v>
      </c>
      <c r="W113" s="136">
        <v>1084</v>
      </c>
    </row>
    <row r="114" spans="14:23" x14ac:dyDescent="0.25">
      <c r="N114" s="1">
        <v>53</v>
      </c>
      <c r="O114" s="1" t="s">
        <v>3181</v>
      </c>
      <c r="P114" s="1">
        <v>8</v>
      </c>
      <c r="R114" s="1">
        <v>256</v>
      </c>
      <c r="S114" s="1" t="s">
        <v>1822</v>
      </c>
      <c r="W114" s="136">
        <v>1085</v>
      </c>
    </row>
    <row r="115" spans="14:23" x14ac:dyDescent="0.25">
      <c r="N115" s="1">
        <v>54</v>
      </c>
      <c r="O115" s="1" t="s">
        <v>3182</v>
      </c>
      <c r="P115" s="1">
        <v>10</v>
      </c>
      <c r="R115" s="1">
        <v>257</v>
      </c>
      <c r="S115" s="1" t="s">
        <v>481</v>
      </c>
      <c r="W115" s="136">
        <v>1086</v>
      </c>
    </row>
    <row r="116" spans="14:23" x14ac:dyDescent="0.25">
      <c r="N116" s="1">
        <v>55</v>
      </c>
      <c r="O116" s="1" t="s">
        <v>3183</v>
      </c>
      <c r="P116" s="1">
        <v>8</v>
      </c>
      <c r="R116" s="1">
        <v>258</v>
      </c>
      <c r="S116" s="1" t="s">
        <v>483</v>
      </c>
      <c r="W116" s="136">
        <v>1089</v>
      </c>
    </row>
    <row r="117" spans="14:23" x14ac:dyDescent="0.25">
      <c r="N117" s="1">
        <v>56</v>
      </c>
      <c r="O117" s="1" t="s">
        <v>3184</v>
      </c>
      <c r="P117" s="1">
        <v>10</v>
      </c>
      <c r="W117" s="136">
        <v>1091</v>
      </c>
    </row>
    <row r="118" spans="14:23" x14ac:dyDescent="0.25">
      <c r="N118" s="1">
        <v>57</v>
      </c>
      <c r="O118" s="1" t="s">
        <v>3185</v>
      </c>
      <c r="P118" s="1">
        <v>10</v>
      </c>
      <c r="W118" s="136">
        <v>1092</v>
      </c>
    </row>
    <row r="119" spans="14:23" x14ac:dyDescent="0.25">
      <c r="N119" s="1">
        <v>58</v>
      </c>
      <c r="O119" s="1" t="s">
        <v>3186</v>
      </c>
      <c r="P119" s="1">
        <v>11</v>
      </c>
      <c r="W119" s="136">
        <v>1101</v>
      </c>
    </row>
    <row r="120" spans="14:23" x14ac:dyDescent="0.25">
      <c r="N120" s="1">
        <v>60</v>
      </c>
      <c r="O120" s="1" t="s">
        <v>3187</v>
      </c>
      <c r="P120" s="1">
        <v>20</v>
      </c>
      <c r="W120" s="136">
        <v>1102</v>
      </c>
    </row>
    <row r="121" spans="14:23" x14ac:dyDescent="0.25">
      <c r="N121" s="1">
        <v>61</v>
      </c>
      <c r="O121" s="1" t="s">
        <v>3188</v>
      </c>
      <c r="P121" s="1">
        <v>8</v>
      </c>
      <c r="W121" s="136">
        <v>1103</v>
      </c>
    </row>
    <row r="122" spans="14:23" x14ac:dyDescent="0.25">
      <c r="N122" s="1">
        <v>63</v>
      </c>
      <c r="O122" s="1" t="s">
        <v>3189</v>
      </c>
      <c r="P122" s="1">
        <v>7</v>
      </c>
      <c r="W122" s="136">
        <v>1104</v>
      </c>
    </row>
    <row r="123" spans="14:23" x14ac:dyDescent="0.25">
      <c r="N123" s="1">
        <v>64</v>
      </c>
      <c r="O123" s="1" t="s">
        <v>3190</v>
      </c>
      <c r="P123" s="1">
        <v>14</v>
      </c>
      <c r="W123" s="136">
        <v>1105</v>
      </c>
    </row>
    <row r="124" spans="14:23" x14ac:dyDescent="0.25">
      <c r="N124" s="1">
        <v>65</v>
      </c>
      <c r="O124" s="1" t="s">
        <v>3191</v>
      </c>
      <c r="P124" s="1">
        <v>14</v>
      </c>
      <c r="W124" s="136">
        <v>1106</v>
      </c>
    </row>
    <row r="125" spans="14:23" x14ac:dyDescent="0.25">
      <c r="N125" s="1">
        <v>66</v>
      </c>
      <c r="O125" s="1" t="s">
        <v>1857</v>
      </c>
      <c r="P125" s="1">
        <v>14</v>
      </c>
      <c r="W125" s="136">
        <v>1107</v>
      </c>
    </row>
    <row r="126" spans="14:23" x14ac:dyDescent="0.25">
      <c r="N126" s="1">
        <v>67</v>
      </c>
      <c r="O126" s="1" t="s">
        <v>1858</v>
      </c>
      <c r="P126" s="1">
        <v>7</v>
      </c>
      <c r="W126" s="136">
        <v>1200</v>
      </c>
    </row>
    <row r="127" spans="14:23" x14ac:dyDescent="0.25">
      <c r="N127" s="1">
        <v>68</v>
      </c>
      <c r="O127" s="1" t="s">
        <v>1859</v>
      </c>
      <c r="P127" s="1">
        <v>12</v>
      </c>
      <c r="W127" s="136">
        <v>1310</v>
      </c>
    </row>
    <row r="128" spans="14:23" x14ac:dyDescent="0.25">
      <c r="N128" s="1">
        <v>69</v>
      </c>
      <c r="O128" s="1" t="s">
        <v>1860</v>
      </c>
      <c r="P128" s="1">
        <v>8</v>
      </c>
      <c r="W128" s="136">
        <v>1320</v>
      </c>
    </row>
    <row r="129" spans="14:23" x14ac:dyDescent="0.25">
      <c r="N129" s="1">
        <v>70</v>
      </c>
      <c r="O129" s="1" t="s">
        <v>1861</v>
      </c>
      <c r="P129" s="1">
        <v>2</v>
      </c>
      <c r="W129" s="136">
        <v>1330</v>
      </c>
    </row>
    <row r="130" spans="14:23" x14ac:dyDescent="0.25">
      <c r="N130" s="1">
        <v>71</v>
      </c>
      <c r="O130" s="1" t="s">
        <v>1862</v>
      </c>
      <c r="P130" s="1">
        <v>7</v>
      </c>
      <c r="W130" s="136">
        <v>1391</v>
      </c>
    </row>
    <row r="131" spans="14:23" x14ac:dyDescent="0.25">
      <c r="N131" s="1">
        <v>72</v>
      </c>
      <c r="O131" s="1" t="s">
        <v>1863</v>
      </c>
      <c r="P131" s="1">
        <v>17</v>
      </c>
      <c r="W131" s="136">
        <v>1392</v>
      </c>
    </row>
    <row r="132" spans="14:23" x14ac:dyDescent="0.25">
      <c r="N132" s="1">
        <v>74</v>
      </c>
      <c r="O132" s="1" t="s">
        <v>1864</v>
      </c>
      <c r="P132" s="1">
        <v>8</v>
      </c>
      <c r="W132" s="136">
        <v>1393</v>
      </c>
    </row>
    <row r="133" spans="14:23" x14ac:dyDescent="0.25">
      <c r="N133" s="1">
        <v>75</v>
      </c>
      <c r="O133" s="1" t="s">
        <v>1865</v>
      </c>
      <c r="P133" s="1">
        <v>20</v>
      </c>
      <c r="W133" s="136">
        <v>1394</v>
      </c>
    </row>
    <row r="134" spans="14:23" x14ac:dyDescent="0.25">
      <c r="N134" s="1">
        <v>77</v>
      </c>
      <c r="O134" s="1" t="s">
        <v>1866</v>
      </c>
      <c r="P134" s="1">
        <v>17</v>
      </c>
      <c r="W134" s="136">
        <v>1395</v>
      </c>
    </row>
    <row r="135" spans="14:23" x14ac:dyDescent="0.25">
      <c r="N135" s="1">
        <v>78</v>
      </c>
      <c r="O135" s="1" t="s">
        <v>1867</v>
      </c>
      <c r="P135" s="1">
        <v>20</v>
      </c>
      <c r="W135" s="136">
        <v>1396</v>
      </c>
    </row>
    <row r="136" spans="14:23" x14ac:dyDescent="0.25">
      <c r="N136" s="1">
        <v>79</v>
      </c>
      <c r="O136" s="1" t="s">
        <v>1868</v>
      </c>
      <c r="P136" s="1">
        <v>2</v>
      </c>
      <c r="W136" s="136">
        <v>1399</v>
      </c>
    </row>
    <row r="137" spans="14:23" x14ac:dyDescent="0.25">
      <c r="N137" s="1">
        <v>80</v>
      </c>
      <c r="O137" s="1" t="s">
        <v>1869</v>
      </c>
      <c r="P137" s="1">
        <v>5</v>
      </c>
      <c r="W137" s="136">
        <v>1411</v>
      </c>
    </row>
    <row r="138" spans="14:23" x14ac:dyDescent="0.25">
      <c r="N138" s="1">
        <v>81</v>
      </c>
      <c r="O138" s="1" t="s">
        <v>1870</v>
      </c>
      <c r="P138" s="1">
        <v>12</v>
      </c>
      <c r="W138" s="136">
        <v>1412</v>
      </c>
    </row>
    <row r="139" spans="14:23" x14ac:dyDescent="0.25">
      <c r="N139" s="1">
        <v>82</v>
      </c>
      <c r="O139" s="1" t="s">
        <v>684</v>
      </c>
      <c r="P139" s="1">
        <v>20</v>
      </c>
      <c r="W139" s="136">
        <v>1413</v>
      </c>
    </row>
    <row r="140" spans="14:23" x14ac:dyDescent="0.25">
      <c r="N140" s="1">
        <v>83</v>
      </c>
      <c r="O140" s="1" t="s">
        <v>685</v>
      </c>
      <c r="P140" s="1">
        <v>3</v>
      </c>
      <c r="W140" s="136">
        <v>1414</v>
      </c>
    </row>
    <row r="141" spans="14:23" x14ac:dyDescent="0.25">
      <c r="N141" s="1">
        <v>84</v>
      </c>
      <c r="O141" s="1" t="s">
        <v>686</v>
      </c>
      <c r="P141" s="1">
        <v>9</v>
      </c>
      <c r="W141" s="136">
        <v>1419</v>
      </c>
    </row>
    <row r="142" spans="14:23" x14ac:dyDescent="0.25">
      <c r="N142" s="1">
        <v>85</v>
      </c>
      <c r="O142" s="1" t="s">
        <v>687</v>
      </c>
      <c r="P142" s="1">
        <v>5</v>
      </c>
      <c r="W142" s="136">
        <v>1420</v>
      </c>
    </row>
    <row r="143" spans="14:23" x14ac:dyDescent="0.25">
      <c r="N143" s="1">
        <v>86</v>
      </c>
      <c r="O143" s="1" t="s">
        <v>688</v>
      </c>
      <c r="P143" s="1">
        <v>14</v>
      </c>
      <c r="W143" s="136">
        <v>1431</v>
      </c>
    </row>
    <row r="144" spans="14:23" x14ac:dyDescent="0.25">
      <c r="N144" s="1">
        <v>87</v>
      </c>
      <c r="O144" s="1" t="s">
        <v>689</v>
      </c>
      <c r="P144" s="1">
        <v>17</v>
      </c>
      <c r="W144" s="136">
        <v>1439</v>
      </c>
    </row>
    <row r="145" spans="14:23" x14ac:dyDescent="0.25">
      <c r="N145" s="1">
        <v>88</v>
      </c>
      <c r="O145" s="1" t="s">
        <v>690</v>
      </c>
      <c r="P145" s="1">
        <v>17</v>
      </c>
      <c r="W145" s="136">
        <v>1511</v>
      </c>
    </row>
    <row r="146" spans="14:23" x14ac:dyDescent="0.25">
      <c r="N146" s="1">
        <v>89</v>
      </c>
      <c r="O146" s="1" t="s">
        <v>691</v>
      </c>
      <c r="P146" s="1">
        <v>20</v>
      </c>
      <c r="W146" s="136">
        <v>1512</v>
      </c>
    </row>
    <row r="147" spans="14:23" x14ac:dyDescent="0.25">
      <c r="N147" s="1">
        <v>90</v>
      </c>
      <c r="O147" s="1" t="s">
        <v>692</v>
      </c>
      <c r="P147" s="1">
        <v>4</v>
      </c>
      <c r="W147" s="136">
        <v>1520</v>
      </c>
    </row>
    <row r="148" spans="14:23" x14ac:dyDescent="0.25">
      <c r="N148" s="1">
        <v>91</v>
      </c>
      <c r="O148" s="1" t="s">
        <v>171</v>
      </c>
      <c r="P148" s="1">
        <v>14</v>
      </c>
      <c r="W148" s="136">
        <v>1610</v>
      </c>
    </row>
    <row r="149" spans="14:23" x14ac:dyDescent="0.25">
      <c r="N149" s="1">
        <v>92</v>
      </c>
      <c r="O149" s="1" t="s">
        <v>172</v>
      </c>
      <c r="P149" s="1">
        <v>16</v>
      </c>
      <c r="W149" s="136">
        <v>1621</v>
      </c>
    </row>
    <row r="150" spans="14:23" x14ac:dyDescent="0.25">
      <c r="N150" s="1">
        <v>94</v>
      </c>
      <c r="O150" s="1" t="s">
        <v>173</v>
      </c>
      <c r="P150" s="1">
        <v>14</v>
      </c>
      <c r="W150" s="136">
        <v>1622</v>
      </c>
    </row>
    <row r="151" spans="14:23" x14ac:dyDescent="0.25">
      <c r="N151" s="1">
        <v>95</v>
      </c>
      <c r="O151" s="1" t="s">
        <v>174</v>
      </c>
      <c r="P151" s="1">
        <v>15</v>
      </c>
      <c r="W151" s="136">
        <v>1623</v>
      </c>
    </row>
    <row r="152" spans="14:23" x14ac:dyDescent="0.25">
      <c r="N152" s="1">
        <v>96</v>
      </c>
      <c r="O152" s="1" t="s">
        <v>175</v>
      </c>
      <c r="P152" s="1">
        <v>6</v>
      </c>
      <c r="W152" s="136">
        <v>1624</v>
      </c>
    </row>
    <row r="153" spans="14:23" x14ac:dyDescent="0.25">
      <c r="N153" s="1">
        <v>97</v>
      </c>
      <c r="O153" s="1" t="s">
        <v>176</v>
      </c>
      <c r="P153" s="1">
        <v>1</v>
      </c>
      <c r="W153" s="136">
        <v>1629</v>
      </c>
    </row>
    <row r="154" spans="14:23" x14ac:dyDescent="0.25">
      <c r="N154" s="1">
        <v>98</v>
      </c>
      <c r="O154" s="1" t="s">
        <v>177</v>
      </c>
      <c r="P154" s="1">
        <v>19</v>
      </c>
      <c r="W154" s="136">
        <v>1711</v>
      </c>
    </row>
    <row r="155" spans="14:23" x14ac:dyDescent="0.25">
      <c r="N155" s="1">
        <v>99</v>
      </c>
      <c r="O155" s="1" t="s">
        <v>178</v>
      </c>
      <c r="P155" s="1">
        <v>4</v>
      </c>
      <c r="W155" s="136">
        <v>1712</v>
      </c>
    </row>
    <row r="156" spans="14:23" x14ac:dyDescent="0.25">
      <c r="N156" s="1">
        <v>100</v>
      </c>
      <c r="O156" s="1" t="s">
        <v>179</v>
      </c>
      <c r="P156" s="1">
        <v>17</v>
      </c>
      <c r="W156" s="136">
        <v>1721</v>
      </c>
    </row>
    <row r="157" spans="14:23" x14ac:dyDescent="0.25">
      <c r="N157" s="1">
        <v>101</v>
      </c>
      <c r="O157" s="1" t="s">
        <v>180</v>
      </c>
      <c r="P157" s="1">
        <v>1</v>
      </c>
      <c r="W157" s="136">
        <v>1722</v>
      </c>
    </row>
    <row r="158" spans="14:23" x14ac:dyDescent="0.25">
      <c r="N158" s="1">
        <v>102</v>
      </c>
      <c r="O158" s="1" t="s">
        <v>181</v>
      </c>
      <c r="P158" s="1">
        <v>3</v>
      </c>
      <c r="W158" s="136">
        <v>1723</v>
      </c>
    </row>
    <row r="159" spans="14:23" x14ac:dyDescent="0.25">
      <c r="N159" s="1">
        <v>103</v>
      </c>
      <c r="O159" s="1" t="s">
        <v>182</v>
      </c>
      <c r="P159" s="1">
        <v>14</v>
      </c>
      <c r="W159" s="136">
        <v>1724</v>
      </c>
    </row>
    <row r="160" spans="14:23" x14ac:dyDescent="0.25">
      <c r="N160" s="1">
        <v>104</v>
      </c>
      <c r="O160" s="1" t="s">
        <v>183</v>
      </c>
      <c r="P160" s="1">
        <v>6</v>
      </c>
      <c r="W160" s="136">
        <v>1729</v>
      </c>
    </row>
    <row r="161" spans="14:23" x14ac:dyDescent="0.25">
      <c r="N161" s="1">
        <v>105</v>
      </c>
      <c r="O161" s="1" t="s">
        <v>184</v>
      </c>
      <c r="P161" s="1">
        <v>7</v>
      </c>
      <c r="W161" s="136">
        <v>1811</v>
      </c>
    </row>
    <row r="162" spans="14:23" x14ac:dyDescent="0.25">
      <c r="N162" s="1">
        <v>106</v>
      </c>
      <c r="O162" s="1" t="s">
        <v>185</v>
      </c>
      <c r="P162" s="1">
        <v>14</v>
      </c>
      <c r="W162" s="136">
        <v>1812</v>
      </c>
    </row>
    <row r="163" spans="14:23" x14ac:dyDescent="0.25">
      <c r="N163" s="1">
        <v>107</v>
      </c>
      <c r="O163" s="1" t="s">
        <v>186</v>
      </c>
      <c r="P163" s="1">
        <v>6</v>
      </c>
      <c r="W163" s="136">
        <v>1813</v>
      </c>
    </row>
    <row r="164" spans="14:23" x14ac:dyDescent="0.25">
      <c r="N164" s="1">
        <v>108</v>
      </c>
      <c r="O164" s="1" t="s">
        <v>187</v>
      </c>
      <c r="P164" s="1">
        <v>2</v>
      </c>
      <c r="W164" s="136">
        <v>1814</v>
      </c>
    </row>
    <row r="165" spans="14:23" x14ac:dyDescent="0.25">
      <c r="N165" s="1">
        <v>110</v>
      </c>
      <c r="O165" s="1" t="s">
        <v>188</v>
      </c>
      <c r="P165" s="1">
        <v>14</v>
      </c>
      <c r="W165" s="136">
        <v>1820</v>
      </c>
    </row>
    <row r="166" spans="14:23" x14ac:dyDescent="0.25">
      <c r="N166" s="1">
        <v>111</v>
      </c>
      <c r="O166" s="1" t="s">
        <v>189</v>
      </c>
      <c r="P166" s="1">
        <v>14</v>
      </c>
      <c r="W166" s="136">
        <v>1910</v>
      </c>
    </row>
    <row r="167" spans="14:23" x14ac:dyDescent="0.25">
      <c r="N167" s="1">
        <v>113</v>
      </c>
      <c r="O167" s="1" t="s">
        <v>190</v>
      </c>
      <c r="P167" s="1">
        <v>15</v>
      </c>
      <c r="W167" s="136">
        <v>1920</v>
      </c>
    </row>
    <row r="168" spans="14:23" x14ac:dyDescent="0.25">
      <c r="N168" s="1">
        <v>114</v>
      </c>
      <c r="O168" s="1" t="s">
        <v>191</v>
      </c>
      <c r="P168" s="1">
        <v>1</v>
      </c>
      <c r="W168" s="136">
        <v>2011</v>
      </c>
    </row>
    <row r="169" spans="14:23" x14ac:dyDescent="0.25">
      <c r="N169" s="1">
        <v>115</v>
      </c>
      <c r="O169" s="1" t="s">
        <v>192</v>
      </c>
      <c r="P169" s="1">
        <v>6</v>
      </c>
      <c r="W169" s="136">
        <v>2012</v>
      </c>
    </row>
    <row r="170" spans="14:23" x14ac:dyDescent="0.25">
      <c r="N170" s="1">
        <v>116</v>
      </c>
      <c r="O170" s="1" t="s">
        <v>519</v>
      </c>
      <c r="P170" s="1">
        <v>14</v>
      </c>
      <c r="W170" s="136">
        <v>2013</v>
      </c>
    </row>
    <row r="171" spans="14:23" x14ac:dyDescent="0.25">
      <c r="N171" s="1">
        <v>117</v>
      </c>
      <c r="O171" s="1" t="s">
        <v>520</v>
      </c>
      <c r="P171" s="1">
        <v>8</v>
      </c>
      <c r="W171" s="136">
        <v>2014</v>
      </c>
    </row>
    <row r="172" spans="14:23" x14ac:dyDescent="0.25">
      <c r="N172" s="1">
        <v>118</v>
      </c>
      <c r="O172" s="1" t="s">
        <v>521</v>
      </c>
      <c r="P172" s="1">
        <v>12</v>
      </c>
      <c r="W172" s="136">
        <v>2015</v>
      </c>
    </row>
    <row r="173" spans="14:23" x14ac:dyDescent="0.25">
      <c r="N173" s="1">
        <v>119</v>
      </c>
      <c r="O173" s="1" t="s">
        <v>522</v>
      </c>
      <c r="P173" s="1">
        <v>7</v>
      </c>
      <c r="W173" s="136">
        <v>2016</v>
      </c>
    </row>
    <row r="174" spans="14:23" x14ac:dyDescent="0.25">
      <c r="N174" s="1">
        <v>120</v>
      </c>
      <c r="O174" s="1" t="s">
        <v>523</v>
      </c>
      <c r="P174" s="1">
        <v>4</v>
      </c>
      <c r="W174" s="136">
        <v>2017</v>
      </c>
    </row>
    <row r="175" spans="14:23" x14ac:dyDescent="0.25">
      <c r="N175" s="1">
        <v>121</v>
      </c>
      <c r="O175" s="1" t="s">
        <v>524</v>
      </c>
      <c r="P175" s="1">
        <v>3</v>
      </c>
      <c r="W175" s="136">
        <v>2020</v>
      </c>
    </row>
    <row r="176" spans="14:23" x14ac:dyDescent="0.25">
      <c r="N176" s="1">
        <v>122</v>
      </c>
      <c r="O176" s="1" t="s">
        <v>525</v>
      </c>
      <c r="P176" s="1">
        <v>6</v>
      </c>
      <c r="W176" s="136">
        <v>2030</v>
      </c>
    </row>
    <row r="177" spans="14:23" x14ac:dyDescent="0.25">
      <c r="N177" s="1">
        <v>123</v>
      </c>
      <c r="O177" s="1" t="s">
        <v>526</v>
      </c>
      <c r="P177" s="1">
        <v>20</v>
      </c>
      <c r="W177" s="136">
        <v>2041</v>
      </c>
    </row>
    <row r="178" spans="14:23" x14ac:dyDescent="0.25">
      <c r="N178" s="1">
        <v>124</v>
      </c>
      <c r="O178" s="1" t="s">
        <v>527</v>
      </c>
      <c r="P178" s="1">
        <v>14</v>
      </c>
      <c r="W178" s="136">
        <v>2042</v>
      </c>
    </row>
    <row r="179" spans="14:23" x14ac:dyDescent="0.25">
      <c r="N179" s="1">
        <v>125</v>
      </c>
      <c r="O179" s="1" t="s">
        <v>528</v>
      </c>
      <c r="P179" s="1">
        <v>2</v>
      </c>
      <c r="W179" s="136">
        <v>2051</v>
      </c>
    </row>
    <row r="180" spans="14:23" x14ac:dyDescent="0.25">
      <c r="N180" s="1">
        <v>127</v>
      </c>
      <c r="O180" s="1" t="s">
        <v>529</v>
      </c>
      <c r="P180" s="1">
        <v>12</v>
      </c>
      <c r="W180" s="136">
        <v>2052</v>
      </c>
    </row>
    <row r="181" spans="14:23" x14ac:dyDescent="0.25">
      <c r="N181" s="1">
        <v>129</v>
      </c>
      <c r="O181" s="1" t="s">
        <v>530</v>
      </c>
      <c r="P181" s="1">
        <v>5</v>
      </c>
      <c r="W181" s="136">
        <v>2053</v>
      </c>
    </row>
    <row r="182" spans="14:23" x14ac:dyDescent="0.25">
      <c r="N182" s="1">
        <v>130</v>
      </c>
      <c r="O182" s="1" t="s">
        <v>531</v>
      </c>
      <c r="P182" s="1">
        <v>9</v>
      </c>
      <c r="W182" s="136">
        <v>2059</v>
      </c>
    </row>
    <row r="183" spans="14:23" x14ac:dyDescent="0.25">
      <c r="N183" s="1">
        <v>131</v>
      </c>
      <c r="O183" s="1" t="s">
        <v>532</v>
      </c>
      <c r="P183" s="1">
        <v>13</v>
      </c>
      <c r="W183" s="136">
        <v>2060</v>
      </c>
    </row>
    <row r="184" spans="14:23" x14ac:dyDescent="0.25">
      <c r="N184" s="1">
        <v>132</v>
      </c>
      <c r="O184" s="1" t="s">
        <v>533</v>
      </c>
      <c r="P184" s="1">
        <v>18</v>
      </c>
      <c r="W184" s="136">
        <v>2110</v>
      </c>
    </row>
    <row r="185" spans="14:23" x14ac:dyDescent="0.25">
      <c r="N185" s="1">
        <v>133</v>
      </c>
      <c r="O185" s="1" t="s">
        <v>534</v>
      </c>
      <c r="P185" s="1">
        <v>21</v>
      </c>
      <c r="W185" s="136">
        <v>2120</v>
      </c>
    </row>
    <row r="186" spans="14:23" x14ac:dyDescent="0.25">
      <c r="N186" s="1">
        <v>134</v>
      </c>
      <c r="O186" s="1" t="s">
        <v>535</v>
      </c>
      <c r="P186" s="1">
        <v>17</v>
      </c>
      <c r="W186" s="136">
        <v>2211</v>
      </c>
    </row>
    <row r="187" spans="14:23" x14ac:dyDescent="0.25">
      <c r="N187" s="1">
        <v>135</v>
      </c>
      <c r="O187" s="1" t="s">
        <v>536</v>
      </c>
      <c r="P187" s="1">
        <v>1</v>
      </c>
      <c r="W187" s="136">
        <v>2219</v>
      </c>
    </row>
    <row r="188" spans="14:23" x14ac:dyDescent="0.25">
      <c r="N188" s="1">
        <v>136</v>
      </c>
      <c r="O188" s="1" t="s">
        <v>537</v>
      </c>
      <c r="P188" s="1">
        <v>10</v>
      </c>
      <c r="W188" s="136">
        <v>2221</v>
      </c>
    </row>
    <row r="189" spans="14:23" x14ac:dyDescent="0.25">
      <c r="N189" s="1">
        <v>137</v>
      </c>
      <c r="O189" s="1" t="s">
        <v>538</v>
      </c>
      <c r="P189" s="1">
        <v>16</v>
      </c>
      <c r="W189" s="136">
        <v>2222</v>
      </c>
    </row>
    <row r="190" spans="14:23" x14ac:dyDescent="0.25">
      <c r="N190" s="1">
        <v>138</v>
      </c>
      <c r="O190" s="1" t="s">
        <v>539</v>
      </c>
      <c r="P190" s="1">
        <v>18</v>
      </c>
      <c r="W190" s="136">
        <v>2223</v>
      </c>
    </row>
    <row r="191" spans="14:23" x14ac:dyDescent="0.25">
      <c r="N191" s="1">
        <v>139</v>
      </c>
      <c r="O191" s="1" t="s">
        <v>540</v>
      </c>
      <c r="P191" s="1">
        <v>7</v>
      </c>
      <c r="W191" s="136">
        <v>2229</v>
      </c>
    </row>
    <row r="192" spans="14:23" x14ac:dyDescent="0.25">
      <c r="N192" s="1">
        <v>140</v>
      </c>
      <c r="O192" s="1" t="s">
        <v>541</v>
      </c>
      <c r="P192" s="1">
        <v>12</v>
      </c>
      <c r="W192" s="136">
        <v>2311</v>
      </c>
    </row>
    <row r="193" spans="14:23" x14ac:dyDescent="0.25">
      <c r="N193" s="1">
        <v>141</v>
      </c>
      <c r="O193" s="1" t="s">
        <v>542</v>
      </c>
      <c r="P193" s="1">
        <v>16</v>
      </c>
      <c r="W193" s="136">
        <v>2312</v>
      </c>
    </row>
    <row r="194" spans="14:23" x14ac:dyDescent="0.25">
      <c r="N194" s="1">
        <v>144</v>
      </c>
      <c r="O194" s="1" t="s">
        <v>543</v>
      </c>
      <c r="P194" s="1">
        <v>7</v>
      </c>
      <c r="W194" s="136">
        <v>2313</v>
      </c>
    </row>
    <row r="195" spans="14:23" x14ac:dyDescent="0.25">
      <c r="N195" s="1">
        <v>145</v>
      </c>
      <c r="O195" s="1" t="s">
        <v>544</v>
      </c>
      <c r="P195" s="1">
        <v>6</v>
      </c>
      <c r="W195" s="136">
        <v>2314</v>
      </c>
    </row>
    <row r="196" spans="14:23" x14ac:dyDescent="0.25">
      <c r="N196" s="1">
        <v>146</v>
      </c>
      <c r="O196" s="1" t="s">
        <v>545</v>
      </c>
      <c r="P196" s="1">
        <v>2</v>
      </c>
      <c r="W196" s="136">
        <v>2319</v>
      </c>
    </row>
    <row r="197" spans="14:23" x14ac:dyDescent="0.25">
      <c r="N197" s="1">
        <v>148</v>
      </c>
      <c r="O197" s="1" t="s">
        <v>546</v>
      </c>
      <c r="P197" s="1">
        <v>17</v>
      </c>
      <c r="W197" s="136">
        <v>2320</v>
      </c>
    </row>
    <row r="198" spans="14:23" x14ac:dyDescent="0.25">
      <c r="N198" s="1">
        <v>149</v>
      </c>
      <c r="O198" s="1" t="s">
        <v>547</v>
      </c>
      <c r="P198" s="1">
        <v>3</v>
      </c>
      <c r="W198" s="136">
        <v>2331</v>
      </c>
    </row>
    <row r="199" spans="14:23" x14ac:dyDescent="0.25">
      <c r="N199" s="1">
        <v>150</v>
      </c>
      <c r="O199" s="1" t="s">
        <v>548</v>
      </c>
      <c r="P199" s="1">
        <v>3</v>
      </c>
      <c r="W199" s="136">
        <v>2332</v>
      </c>
    </row>
    <row r="200" spans="14:23" x14ac:dyDescent="0.25">
      <c r="N200" s="1">
        <v>151</v>
      </c>
      <c r="O200" s="1" t="s">
        <v>549</v>
      </c>
      <c r="P200" s="1">
        <v>5</v>
      </c>
      <c r="W200" s="136">
        <v>2341</v>
      </c>
    </row>
    <row r="201" spans="14:23" x14ac:dyDescent="0.25">
      <c r="N201" s="1">
        <v>152</v>
      </c>
      <c r="O201" s="1" t="s">
        <v>550</v>
      </c>
      <c r="P201" s="1">
        <v>2</v>
      </c>
      <c r="W201" s="136">
        <v>2342</v>
      </c>
    </row>
    <row r="202" spans="14:23" x14ac:dyDescent="0.25">
      <c r="N202" s="1">
        <v>153</v>
      </c>
      <c r="O202" s="1" t="s">
        <v>551</v>
      </c>
      <c r="P202" s="1">
        <v>17</v>
      </c>
      <c r="W202" s="136">
        <v>2343</v>
      </c>
    </row>
    <row r="203" spans="14:23" x14ac:dyDescent="0.25">
      <c r="N203" s="1">
        <v>154</v>
      </c>
      <c r="O203" s="1" t="s">
        <v>552</v>
      </c>
      <c r="P203" s="1">
        <v>16</v>
      </c>
      <c r="W203" s="136">
        <v>2344</v>
      </c>
    </row>
    <row r="204" spans="14:23" x14ac:dyDescent="0.25">
      <c r="N204" s="1">
        <v>155</v>
      </c>
      <c r="O204" s="1" t="s">
        <v>553</v>
      </c>
      <c r="P204" s="1">
        <v>17</v>
      </c>
      <c r="W204" s="136">
        <v>2349</v>
      </c>
    </row>
    <row r="205" spans="14:23" x14ac:dyDescent="0.25">
      <c r="N205" s="1">
        <v>156</v>
      </c>
      <c r="O205" s="1" t="s">
        <v>554</v>
      </c>
      <c r="P205" s="1">
        <v>5</v>
      </c>
      <c r="W205" s="136">
        <v>2351</v>
      </c>
    </row>
    <row r="206" spans="14:23" x14ac:dyDescent="0.25">
      <c r="N206" s="1">
        <v>158</v>
      </c>
      <c r="O206" s="1" t="s">
        <v>555</v>
      </c>
      <c r="P206" s="1">
        <v>1</v>
      </c>
      <c r="W206" s="136">
        <v>2352</v>
      </c>
    </row>
    <row r="207" spans="14:23" x14ac:dyDescent="0.25">
      <c r="N207" s="1">
        <v>159</v>
      </c>
      <c r="O207" s="1" t="s">
        <v>556</v>
      </c>
      <c r="P207" s="1">
        <v>16</v>
      </c>
      <c r="W207" s="136">
        <v>2361</v>
      </c>
    </row>
    <row r="208" spans="14:23" x14ac:dyDescent="0.25">
      <c r="N208" s="1">
        <v>161</v>
      </c>
      <c r="O208" s="1" t="s">
        <v>557</v>
      </c>
      <c r="P208" s="1">
        <v>7</v>
      </c>
      <c r="W208" s="136">
        <v>2362</v>
      </c>
    </row>
    <row r="209" spans="14:23" x14ac:dyDescent="0.25">
      <c r="N209" s="1">
        <v>163</v>
      </c>
      <c r="O209" s="1" t="s">
        <v>558</v>
      </c>
      <c r="P209" s="1">
        <v>1</v>
      </c>
      <c r="W209" s="136">
        <v>2363</v>
      </c>
    </row>
    <row r="210" spans="14:23" x14ac:dyDescent="0.25">
      <c r="N210" s="1">
        <v>164</v>
      </c>
      <c r="O210" s="1" t="s">
        <v>559</v>
      </c>
      <c r="P210" s="1">
        <v>11</v>
      </c>
      <c r="W210" s="136">
        <v>2364</v>
      </c>
    </row>
    <row r="211" spans="14:23" x14ac:dyDescent="0.25">
      <c r="N211" s="1">
        <v>165</v>
      </c>
      <c r="O211" s="1" t="s">
        <v>560</v>
      </c>
      <c r="P211" s="1">
        <v>5</v>
      </c>
      <c r="W211" s="136">
        <v>2365</v>
      </c>
    </row>
    <row r="212" spans="14:23" x14ac:dyDescent="0.25">
      <c r="N212" s="1">
        <v>166</v>
      </c>
      <c r="O212" s="1" t="s">
        <v>561</v>
      </c>
      <c r="P212" s="1">
        <v>16</v>
      </c>
      <c r="W212" s="136">
        <v>2369</v>
      </c>
    </row>
    <row r="213" spans="14:23" x14ac:dyDescent="0.25">
      <c r="N213" s="1">
        <v>167</v>
      </c>
      <c r="O213" s="1" t="s">
        <v>2400</v>
      </c>
      <c r="P213" s="1">
        <v>13</v>
      </c>
      <c r="W213" s="136">
        <v>2370</v>
      </c>
    </row>
    <row r="214" spans="14:23" x14ac:dyDescent="0.25">
      <c r="N214" s="1">
        <v>168</v>
      </c>
      <c r="O214" s="1" t="s">
        <v>2401</v>
      </c>
      <c r="P214" s="1">
        <v>3</v>
      </c>
      <c r="W214" s="136">
        <v>2391</v>
      </c>
    </row>
    <row r="215" spans="14:23" x14ac:dyDescent="0.25">
      <c r="N215" s="1">
        <v>169</v>
      </c>
      <c r="O215" s="1" t="s">
        <v>2402</v>
      </c>
      <c r="P215" s="1">
        <v>1</v>
      </c>
      <c r="W215" s="136">
        <v>2399</v>
      </c>
    </row>
    <row r="216" spans="14:23" x14ac:dyDescent="0.25">
      <c r="N216" s="1">
        <v>170</v>
      </c>
      <c r="O216" s="1" t="s">
        <v>2403</v>
      </c>
      <c r="P216" s="1">
        <v>8</v>
      </c>
      <c r="W216" s="136">
        <v>2410</v>
      </c>
    </row>
    <row r="217" spans="14:23" x14ac:dyDescent="0.25">
      <c r="N217" s="1">
        <v>171</v>
      </c>
      <c r="O217" s="1" t="s">
        <v>2404</v>
      </c>
      <c r="P217" s="1">
        <v>17</v>
      </c>
      <c r="W217" s="136">
        <v>2420</v>
      </c>
    </row>
    <row r="218" spans="14:23" x14ac:dyDescent="0.25">
      <c r="N218" s="1">
        <v>172</v>
      </c>
      <c r="O218" s="1" t="s">
        <v>2405</v>
      </c>
      <c r="P218" s="1">
        <v>4</v>
      </c>
      <c r="W218" s="136">
        <v>2431</v>
      </c>
    </row>
    <row r="219" spans="14:23" x14ac:dyDescent="0.25">
      <c r="N219" s="1">
        <v>173</v>
      </c>
      <c r="O219" s="1" t="s">
        <v>2406</v>
      </c>
      <c r="P219" s="1">
        <v>13</v>
      </c>
      <c r="W219" s="136">
        <v>2432</v>
      </c>
    </row>
    <row r="220" spans="14:23" x14ac:dyDescent="0.25">
      <c r="N220" s="1">
        <v>175</v>
      </c>
      <c r="O220" s="1" t="s">
        <v>2407</v>
      </c>
      <c r="P220" s="1">
        <v>18</v>
      </c>
      <c r="W220" s="136">
        <v>2433</v>
      </c>
    </row>
    <row r="221" spans="14:23" x14ac:dyDescent="0.25">
      <c r="N221" s="1">
        <v>176</v>
      </c>
      <c r="O221" s="1" t="s">
        <v>2408</v>
      </c>
      <c r="P221" s="1">
        <v>7</v>
      </c>
      <c r="W221" s="136">
        <v>2434</v>
      </c>
    </row>
    <row r="222" spans="14:23" x14ac:dyDescent="0.25">
      <c r="N222" s="1">
        <v>177</v>
      </c>
      <c r="O222" s="1" t="s">
        <v>2409</v>
      </c>
      <c r="P222" s="1">
        <v>11</v>
      </c>
      <c r="W222" s="136">
        <v>2441</v>
      </c>
    </row>
    <row r="223" spans="14:23" x14ac:dyDescent="0.25">
      <c r="N223" s="1">
        <v>178</v>
      </c>
      <c r="O223" s="1" t="s">
        <v>2410</v>
      </c>
      <c r="P223" s="1">
        <v>9</v>
      </c>
      <c r="W223" s="136">
        <v>2442</v>
      </c>
    </row>
    <row r="224" spans="14:23" x14ac:dyDescent="0.25">
      <c r="N224" s="1">
        <v>179</v>
      </c>
      <c r="O224" s="1" t="s">
        <v>2411</v>
      </c>
      <c r="P224" s="1">
        <v>4</v>
      </c>
      <c r="W224" s="136">
        <v>2443</v>
      </c>
    </row>
    <row r="225" spans="14:23" x14ac:dyDescent="0.25">
      <c r="N225" s="1">
        <v>180</v>
      </c>
      <c r="O225" s="1" t="s">
        <v>2412</v>
      </c>
      <c r="P225" s="1">
        <v>8</v>
      </c>
      <c r="W225" s="136">
        <v>2444</v>
      </c>
    </row>
    <row r="226" spans="14:23" x14ac:dyDescent="0.25">
      <c r="N226" s="1">
        <v>181</v>
      </c>
      <c r="O226" s="1" t="s">
        <v>2413</v>
      </c>
      <c r="P226" s="1">
        <v>17</v>
      </c>
      <c r="W226" s="136">
        <v>2445</v>
      </c>
    </row>
    <row r="227" spans="14:23" x14ac:dyDescent="0.25">
      <c r="N227" s="1">
        <v>183</v>
      </c>
      <c r="O227" s="1" t="s">
        <v>2414</v>
      </c>
      <c r="P227" s="1">
        <v>15</v>
      </c>
      <c r="W227" s="136">
        <v>2446</v>
      </c>
    </row>
    <row r="228" spans="14:23" x14ac:dyDescent="0.25">
      <c r="N228" s="1">
        <v>184</v>
      </c>
      <c r="O228" s="1" t="s">
        <v>2415</v>
      </c>
      <c r="P228" s="1">
        <v>15</v>
      </c>
      <c r="W228" s="136">
        <v>2451</v>
      </c>
    </row>
    <row r="229" spans="14:23" x14ac:dyDescent="0.25">
      <c r="N229" s="1">
        <v>185</v>
      </c>
      <c r="O229" s="1" t="s">
        <v>2416</v>
      </c>
      <c r="P229" s="1">
        <v>12</v>
      </c>
      <c r="W229" s="136">
        <v>2452</v>
      </c>
    </row>
    <row r="230" spans="14:23" x14ac:dyDescent="0.25">
      <c r="N230" s="1">
        <v>186</v>
      </c>
      <c r="O230" s="1" t="s">
        <v>2417</v>
      </c>
      <c r="P230" s="1">
        <v>8</v>
      </c>
      <c r="W230" s="136">
        <v>2453</v>
      </c>
    </row>
    <row r="231" spans="14:23" x14ac:dyDescent="0.25">
      <c r="N231" s="1">
        <v>187</v>
      </c>
      <c r="O231" s="1" t="s">
        <v>2418</v>
      </c>
      <c r="P231" s="1">
        <v>2</v>
      </c>
      <c r="W231" s="136">
        <v>2454</v>
      </c>
    </row>
    <row r="232" spans="14:23" x14ac:dyDescent="0.25">
      <c r="N232" s="1">
        <v>189</v>
      </c>
      <c r="O232" s="1" t="s">
        <v>1046</v>
      </c>
      <c r="P232" s="1">
        <v>5</v>
      </c>
      <c r="W232" s="136">
        <v>2511</v>
      </c>
    </row>
    <row r="233" spans="14:23" x14ac:dyDescent="0.25">
      <c r="N233" s="1">
        <v>190</v>
      </c>
      <c r="O233" s="1" t="s">
        <v>1047</v>
      </c>
      <c r="P233" s="1">
        <v>1</v>
      </c>
      <c r="W233" s="136">
        <v>2512</v>
      </c>
    </row>
    <row r="234" spans="14:23" x14ac:dyDescent="0.25">
      <c r="N234" s="1">
        <v>192</v>
      </c>
      <c r="O234" s="1" t="s">
        <v>1048</v>
      </c>
      <c r="P234" s="1">
        <v>17</v>
      </c>
      <c r="W234" s="136">
        <v>2521</v>
      </c>
    </row>
    <row r="235" spans="14:23" x14ac:dyDescent="0.25">
      <c r="N235" s="1">
        <v>193</v>
      </c>
      <c r="O235" s="1" t="s">
        <v>1049</v>
      </c>
      <c r="P235" s="1">
        <v>1</v>
      </c>
      <c r="W235" s="136">
        <v>2529</v>
      </c>
    </row>
    <row r="236" spans="14:23" x14ac:dyDescent="0.25">
      <c r="N236" s="1">
        <v>194</v>
      </c>
      <c r="O236" s="1" t="s">
        <v>4495</v>
      </c>
      <c r="P236" s="1">
        <v>6</v>
      </c>
      <c r="W236" s="136">
        <v>2530</v>
      </c>
    </row>
    <row r="237" spans="14:23" x14ac:dyDescent="0.25">
      <c r="N237" s="1">
        <v>195</v>
      </c>
      <c r="O237" s="1" t="s">
        <v>4496</v>
      </c>
      <c r="P237" s="1">
        <v>14</v>
      </c>
      <c r="W237" s="136">
        <v>2540</v>
      </c>
    </row>
    <row r="238" spans="14:23" x14ac:dyDescent="0.25">
      <c r="N238" s="1">
        <v>196</v>
      </c>
      <c r="O238" s="1" t="s">
        <v>3192</v>
      </c>
      <c r="P238" s="1">
        <v>15</v>
      </c>
      <c r="W238" s="136">
        <v>2550</v>
      </c>
    </row>
    <row r="239" spans="14:23" x14ac:dyDescent="0.25">
      <c r="N239" s="1">
        <v>197</v>
      </c>
      <c r="O239" s="1" t="s">
        <v>3193</v>
      </c>
      <c r="P239" s="1">
        <v>17</v>
      </c>
      <c r="W239" s="136">
        <v>2561</v>
      </c>
    </row>
    <row r="240" spans="14:23" x14ac:dyDescent="0.25">
      <c r="N240" s="1">
        <v>198</v>
      </c>
      <c r="O240" s="1" t="s">
        <v>3194</v>
      </c>
      <c r="P240" s="1">
        <v>19</v>
      </c>
      <c r="W240" s="136">
        <v>2562</v>
      </c>
    </row>
    <row r="241" spans="14:23" x14ac:dyDescent="0.25">
      <c r="N241" s="1">
        <v>199</v>
      </c>
      <c r="O241" s="1" t="s">
        <v>3195</v>
      </c>
      <c r="P241" s="1">
        <v>7</v>
      </c>
      <c r="W241" s="136">
        <v>2571</v>
      </c>
    </row>
    <row r="242" spans="14:23" x14ac:dyDescent="0.25">
      <c r="N242" s="1">
        <v>200</v>
      </c>
      <c r="O242" s="1" t="s">
        <v>3196</v>
      </c>
      <c r="P242" s="1">
        <v>2</v>
      </c>
      <c r="W242" s="136">
        <v>2572</v>
      </c>
    </row>
    <row r="243" spans="14:23" x14ac:dyDescent="0.25">
      <c r="N243" s="1">
        <v>201</v>
      </c>
      <c r="O243" s="1" t="s">
        <v>3197</v>
      </c>
      <c r="P243" s="1">
        <v>6</v>
      </c>
      <c r="W243" s="136">
        <v>2573</v>
      </c>
    </row>
    <row r="244" spans="14:23" x14ac:dyDescent="0.25">
      <c r="N244" s="1">
        <v>202</v>
      </c>
      <c r="O244" s="1" t="s">
        <v>3198</v>
      </c>
      <c r="P244" s="1">
        <v>6</v>
      </c>
      <c r="W244" s="136">
        <v>2591</v>
      </c>
    </row>
    <row r="245" spans="14:23" x14ac:dyDescent="0.25">
      <c r="N245" s="1">
        <v>203</v>
      </c>
      <c r="O245" s="1" t="s">
        <v>3199</v>
      </c>
      <c r="P245" s="1">
        <v>6</v>
      </c>
      <c r="W245" s="136">
        <v>2592</v>
      </c>
    </row>
    <row r="246" spans="14:23" x14ac:dyDescent="0.25">
      <c r="N246" s="1">
        <v>204</v>
      </c>
      <c r="O246" s="1" t="s">
        <v>3200</v>
      </c>
      <c r="P246" s="1">
        <v>19</v>
      </c>
      <c r="W246" s="136">
        <v>2593</v>
      </c>
    </row>
    <row r="247" spans="14:23" x14ac:dyDescent="0.25">
      <c r="N247" s="1">
        <v>205</v>
      </c>
      <c r="O247" s="1" t="s">
        <v>3201</v>
      </c>
      <c r="P247" s="1">
        <v>14</v>
      </c>
      <c r="W247" s="136">
        <v>2594</v>
      </c>
    </row>
    <row r="248" spans="14:23" x14ac:dyDescent="0.25">
      <c r="N248" s="1">
        <v>206</v>
      </c>
      <c r="O248" s="1" t="s">
        <v>3202</v>
      </c>
      <c r="P248" s="1">
        <v>20</v>
      </c>
      <c r="W248" s="136">
        <v>2599</v>
      </c>
    </row>
    <row r="249" spans="14:23" x14ac:dyDescent="0.25">
      <c r="N249" s="1">
        <v>208</v>
      </c>
      <c r="O249" s="1" t="s">
        <v>3203</v>
      </c>
      <c r="P249" s="1">
        <v>2</v>
      </c>
      <c r="W249" s="136">
        <v>2611</v>
      </c>
    </row>
    <row r="250" spans="14:23" x14ac:dyDescent="0.25">
      <c r="N250" s="1">
        <v>209</v>
      </c>
      <c r="O250" s="1" t="s">
        <v>3204</v>
      </c>
      <c r="P250" s="1">
        <v>8</v>
      </c>
      <c r="W250" s="136">
        <v>2612</v>
      </c>
    </row>
    <row r="251" spans="14:23" x14ac:dyDescent="0.25">
      <c r="N251" s="1">
        <v>211</v>
      </c>
      <c r="O251" s="1" t="s">
        <v>3205</v>
      </c>
      <c r="P251" s="1">
        <v>2</v>
      </c>
      <c r="W251" s="136">
        <v>2620</v>
      </c>
    </row>
    <row r="252" spans="14:23" x14ac:dyDescent="0.25">
      <c r="N252" s="1">
        <v>212</v>
      </c>
      <c r="O252" s="1" t="s">
        <v>3206</v>
      </c>
      <c r="P252" s="1">
        <v>2</v>
      </c>
      <c r="W252" s="136">
        <v>2630</v>
      </c>
    </row>
    <row r="253" spans="14:23" x14ac:dyDescent="0.25">
      <c r="N253" s="1">
        <v>213</v>
      </c>
      <c r="O253" s="1" t="s">
        <v>3207</v>
      </c>
      <c r="P253" s="1">
        <v>1</v>
      </c>
      <c r="W253" s="136">
        <v>2640</v>
      </c>
    </row>
    <row r="254" spans="14:23" x14ac:dyDescent="0.25">
      <c r="N254" s="1">
        <v>214</v>
      </c>
      <c r="O254" s="1" t="s">
        <v>3208</v>
      </c>
      <c r="P254" s="1">
        <v>6</v>
      </c>
      <c r="W254" s="136">
        <v>2651</v>
      </c>
    </row>
    <row r="255" spans="14:23" x14ac:dyDescent="0.25">
      <c r="N255" s="1">
        <v>215</v>
      </c>
      <c r="O255" s="1" t="s">
        <v>3209</v>
      </c>
      <c r="P255" s="1">
        <v>8</v>
      </c>
      <c r="W255" s="136">
        <v>2652</v>
      </c>
    </row>
    <row r="256" spans="14:23" x14ac:dyDescent="0.25">
      <c r="N256" s="1">
        <v>216</v>
      </c>
      <c r="O256" s="1" t="s">
        <v>3210</v>
      </c>
      <c r="P256" s="1">
        <v>4</v>
      </c>
      <c r="W256" s="136">
        <v>2660</v>
      </c>
    </row>
    <row r="257" spans="14:23" x14ac:dyDescent="0.25">
      <c r="N257" s="1">
        <v>217</v>
      </c>
      <c r="O257" s="1" t="s">
        <v>3211</v>
      </c>
      <c r="P257" s="1">
        <v>18</v>
      </c>
      <c r="W257" s="136">
        <v>2670</v>
      </c>
    </row>
    <row r="258" spans="14:23" x14ac:dyDescent="0.25">
      <c r="N258" s="1">
        <v>219</v>
      </c>
      <c r="O258" s="1" t="s">
        <v>2841</v>
      </c>
      <c r="P258" s="1">
        <v>19</v>
      </c>
      <c r="W258" s="136">
        <v>2680</v>
      </c>
    </row>
    <row r="259" spans="14:23" x14ac:dyDescent="0.25">
      <c r="N259" s="1">
        <v>220</v>
      </c>
      <c r="O259" s="1" t="s">
        <v>2842</v>
      </c>
      <c r="P259" s="1">
        <v>3</v>
      </c>
      <c r="W259" s="136">
        <v>2711</v>
      </c>
    </row>
    <row r="260" spans="14:23" x14ac:dyDescent="0.25">
      <c r="N260" s="1">
        <v>221</v>
      </c>
      <c r="O260" s="1" t="s">
        <v>2843</v>
      </c>
      <c r="P260" s="1">
        <v>11</v>
      </c>
      <c r="W260" s="136">
        <v>2712</v>
      </c>
    </row>
    <row r="261" spans="14:23" x14ac:dyDescent="0.25">
      <c r="N261" s="1">
        <v>222</v>
      </c>
      <c r="O261" s="1" t="s">
        <v>2844</v>
      </c>
      <c r="P261" s="1">
        <v>18</v>
      </c>
      <c r="W261" s="136">
        <v>2720</v>
      </c>
    </row>
    <row r="262" spans="14:23" x14ac:dyDescent="0.25">
      <c r="N262" s="1">
        <v>223</v>
      </c>
      <c r="O262" s="1" t="s">
        <v>2845</v>
      </c>
      <c r="P262" s="1">
        <v>18</v>
      </c>
      <c r="W262" s="136">
        <v>2731</v>
      </c>
    </row>
    <row r="263" spans="14:23" x14ac:dyDescent="0.25">
      <c r="N263" s="1">
        <v>225</v>
      </c>
      <c r="O263" s="1" t="s">
        <v>2846</v>
      </c>
      <c r="P263" s="1">
        <v>4</v>
      </c>
      <c r="W263" s="136">
        <v>2732</v>
      </c>
    </row>
    <row r="264" spans="14:23" x14ac:dyDescent="0.25">
      <c r="N264" s="1">
        <v>226</v>
      </c>
      <c r="O264" s="1" t="s">
        <v>2847</v>
      </c>
      <c r="P264" s="1">
        <v>19</v>
      </c>
      <c r="W264" s="136">
        <v>2733</v>
      </c>
    </row>
    <row r="265" spans="14:23" x14ac:dyDescent="0.25">
      <c r="N265" s="1">
        <v>227</v>
      </c>
      <c r="O265" s="1" t="s">
        <v>2848</v>
      </c>
      <c r="P265" s="1">
        <v>6</v>
      </c>
      <c r="W265" s="136">
        <v>2740</v>
      </c>
    </row>
    <row r="266" spans="14:23" x14ac:dyDescent="0.25">
      <c r="N266" s="1">
        <v>228</v>
      </c>
      <c r="O266" s="1" t="s">
        <v>2849</v>
      </c>
      <c r="P266" s="1">
        <v>3</v>
      </c>
      <c r="W266" s="136">
        <v>2751</v>
      </c>
    </row>
    <row r="267" spans="14:23" x14ac:dyDescent="0.25">
      <c r="N267" s="1">
        <v>229</v>
      </c>
      <c r="O267" s="1" t="s">
        <v>2850</v>
      </c>
      <c r="P267" s="1">
        <v>5</v>
      </c>
      <c r="W267" s="136">
        <v>2752</v>
      </c>
    </row>
    <row r="268" spans="14:23" x14ac:dyDescent="0.25">
      <c r="N268" s="1">
        <v>230</v>
      </c>
      <c r="O268" s="1" t="s">
        <v>2851</v>
      </c>
      <c r="P268" s="1">
        <v>14</v>
      </c>
      <c r="W268" s="136">
        <v>2790</v>
      </c>
    </row>
    <row r="269" spans="14:23" x14ac:dyDescent="0.25">
      <c r="N269" s="1">
        <v>231</v>
      </c>
      <c r="O269" s="1" t="s">
        <v>2852</v>
      </c>
      <c r="P269" s="1">
        <v>11</v>
      </c>
      <c r="W269" s="136">
        <v>2811</v>
      </c>
    </row>
    <row r="270" spans="14:23" x14ac:dyDescent="0.25">
      <c r="N270" s="1">
        <v>232</v>
      </c>
      <c r="O270" s="1" t="s">
        <v>2853</v>
      </c>
      <c r="P270" s="1">
        <v>3</v>
      </c>
      <c r="W270" s="136">
        <v>2812</v>
      </c>
    </row>
    <row r="271" spans="14:23" x14ac:dyDescent="0.25">
      <c r="N271" s="1">
        <v>234</v>
      </c>
      <c r="O271" s="1" t="s">
        <v>2854</v>
      </c>
      <c r="P271" s="1">
        <v>13</v>
      </c>
      <c r="W271" s="136">
        <v>2813</v>
      </c>
    </row>
    <row r="272" spans="14:23" x14ac:dyDescent="0.25">
      <c r="N272" s="1">
        <v>235</v>
      </c>
      <c r="O272" s="1" t="s">
        <v>2855</v>
      </c>
      <c r="P272" s="1">
        <v>18</v>
      </c>
      <c r="W272" s="136">
        <v>2814</v>
      </c>
    </row>
    <row r="273" spans="14:23" x14ac:dyDescent="0.25">
      <c r="N273" s="1">
        <v>236</v>
      </c>
      <c r="O273" s="1" t="s">
        <v>2856</v>
      </c>
      <c r="P273" s="1">
        <v>2</v>
      </c>
      <c r="W273" s="136">
        <v>2815</v>
      </c>
    </row>
    <row r="274" spans="14:23" x14ac:dyDescent="0.25">
      <c r="N274" s="1">
        <v>237</v>
      </c>
      <c r="O274" s="1" t="s">
        <v>2857</v>
      </c>
      <c r="P274" s="1">
        <v>8</v>
      </c>
      <c r="W274" s="136">
        <v>2821</v>
      </c>
    </row>
    <row r="275" spans="14:23" x14ac:dyDescent="0.25">
      <c r="N275" s="1">
        <v>239</v>
      </c>
      <c r="O275" s="1" t="s">
        <v>2858</v>
      </c>
      <c r="P275" s="1">
        <v>16</v>
      </c>
      <c r="W275" s="136">
        <v>2822</v>
      </c>
    </row>
    <row r="276" spans="14:23" x14ac:dyDescent="0.25">
      <c r="N276" s="1">
        <v>240</v>
      </c>
      <c r="O276" s="1" t="s">
        <v>2859</v>
      </c>
      <c r="P276" s="1">
        <v>9</v>
      </c>
      <c r="W276" s="136">
        <v>2823</v>
      </c>
    </row>
    <row r="277" spans="14:23" x14ac:dyDescent="0.25">
      <c r="N277" s="1">
        <v>242</v>
      </c>
      <c r="O277" s="1" t="s">
        <v>2860</v>
      </c>
      <c r="P277" s="1">
        <v>8</v>
      </c>
      <c r="W277" s="136">
        <v>2824</v>
      </c>
    </row>
    <row r="278" spans="14:23" x14ac:dyDescent="0.25">
      <c r="N278" s="1">
        <v>243</v>
      </c>
      <c r="O278" s="1" t="s">
        <v>4338</v>
      </c>
      <c r="P278" s="1">
        <v>17</v>
      </c>
      <c r="W278" s="136">
        <v>2825</v>
      </c>
    </row>
    <row r="279" spans="14:23" x14ac:dyDescent="0.25">
      <c r="N279" s="1">
        <v>244</v>
      </c>
      <c r="O279" s="1" t="s">
        <v>4339</v>
      </c>
      <c r="P279" s="1">
        <v>5</v>
      </c>
      <c r="W279" s="136">
        <v>2829</v>
      </c>
    </row>
    <row r="280" spans="14:23" x14ac:dyDescent="0.25">
      <c r="N280" s="1">
        <v>245</v>
      </c>
      <c r="O280" s="1" t="s">
        <v>4340</v>
      </c>
      <c r="P280" s="1">
        <v>10</v>
      </c>
      <c r="W280" s="136">
        <v>2830</v>
      </c>
    </row>
    <row r="281" spans="14:23" x14ac:dyDescent="0.25">
      <c r="N281" s="1">
        <v>246</v>
      </c>
      <c r="O281" s="1" t="s">
        <v>4341</v>
      </c>
      <c r="P281" s="1">
        <v>18</v>
      </c>
      <c r="W281" s="136">
        <v>2841</v>
      </c>
    </row>
    <row r="282" spans="14:23" x14ac:dyDescent="0.25">
      <c r="N282" s="1">
        <v>247</v>
      </c>
      <c r="O282" s="1" t="s">
        <v>4342</v>
      </c>
      <c r="P282" s="1">
        <v>5</v>
      </c>
      <c r="W282" s="136">
        <v>2849</v>
      </c>
    </row>
    <row r="283" spans="14:23" x14ac:dyDescent="0.25">
      <c r="N283" s="1">
        <v>248</v>
      </c>
      <c r="O283" s="1" t="s">
        <v>4343</v>
      </c>
      <c r="P283" s="1">
        <v>2</v>
      </c>
      <c r="W283" s="136">
        <v>2891</v>
      </c>
    </row>
    <row r="284" spans="14:23" x14ac:dyDescent="0.25">
      <c r="N284" s="1">
        <v>249</v>
      </c>
      <c r="O284" s="1" t="s">
        <v>4344</v>
      </c>
      <c r="P284" s="1">
        <v>17</v>
      </c>
      <c r="W284" s="136">
        <v>2892</v>
      </c>
    </row>
    <row r="285" spans="14:23" x14ac:dyDescent="0.25">
      <c r="N285" s="1">
        <v>250</v>
      </c>
      <c r="O285" s="1" t="s">
        <v>4345</v>
      </c>
      <c r="P285" s="1">
        <v>20</v>
      </c>
      <c r="W285" s="136">
        <v>2893</v>
      </c>
    </row>
    <row r="286" spans="14:23" x14ac:dyDescent="0.25">
      <c r="N286" s="1">
        <v>251</v>
      </c>
      <c r="O286" s="1" t="s">
        <v>4346</v>
      </c>
      <c r="P286" s="1">
        <v>5</v>
      </c>
      <c r="W286" s="136">
        <v>2894</v>
      </c>
    </row>
    <row r="287" spans="14:23" x14ac:dyDescent="0.25">
      <c r="N287" s="1">
        <v>252</v>
      </c>
      <c r="O287" s="1" t="s">
        <v>4347</v>
      </c>
      <c r="P287" s="1">
        <v>8</v>
      </c>
      <c r="W287" s="136">
        <v>2895</v>
      </c>
    </row>
    <row r="288" spans="14:23" x14ac:dyDescent="0.25">
      <c r="N288" s="1">
        <v>253</v>
      </c>
      <c r="O288" s="1" t="s">
        <v>4348</v>
      </c>
      <c r="P288" s="1">
        <v>8</v>
      </c>
      <c r="W288" s="136">
        <v>2896</v>
      </c>
    </row>
    <row r="289" spans="14:23" x14ac:dyDescent="0.25">
      <c r="N289" s="1">
        <v>254</v>
      </c>
      <c r="O289" s="1" t="s">
        <v>4349</v>
      </c>
      <c r="P289" s="1">
        <v>18</v>
      </c>
      <c r="W289" s="136">
        <v>2899</v>
      </c>
    </row>
    <row r="290" spans="14:23" x14ac:dyDescent="0.25">
      <c r="N290" s="1">
        <v>256</v>
      </c>
      <c r="O290" s="1" t="s">
        <v>4350</v>
      </c>
      <c r="P290" s="1">
        <v>2</v>
      </c>
      <c r="W290" s="136">
        <v>2910</v>
      </c>
    </row>
    <row r="291" spans="14:23" x14ac:dyDescent="0.25">
      <c r="N291" s="1">
        <v>257</v>
      </c>
      <c r="O291" s="1" t="s">
        <v>4351</v>
      </c>
      <c r="P291" s="1">
        <v>14</v>
      </c>
      <c r="W291" s="136">
        <v>2920</v>
      </c>
    </row>
    <row r="292" spans="14:23" x14ac:dyDescent="0.25">
      <c r="N292" s="1">
        <v>258</v>
      </c>
      <c r="O292" s="1" t="s">
        <v>4352</v>
      </c>
      <c r="P292" s="1">
        <v>17</v>
      </c>
      <c r="W292" s="136">
        <v>2931</v>
      </c>
    </row>
    <row r="293" spans="14:23" x14ac:dyDescent="0.25">
      <c r="N293" s="1">
        <v>259</v>
      </c>
      <c r="O293" s="1" t="s">
        <v>4353</v>
      </c>
      <c r="P293" s="1">
        <v>3</v>
      </c>
      <c r="W293" s="136">
        <v>2932</v>
      </c>
    </row>
    <row r="294" spans="14:23" x14ac:dyDescent="0.25">
      <c r="N294" s="1">
        <v>260</v>
      </c>
      <c r="O294" s="1" t="s">
        <v>4354</v>
      </c>
      <c r="P294" s="1">
        <v>5</v>
      </c>
      <c r="W294" s="136">
        <v>3011</v>
      </c>
    </row>
    <row r="295" spans="14:23" x14ac:dyDescent="0.25">
      <c r="N295" s="1">
        <v>261</v>
      </c>
      <c r="O295" s="1" t="s">
        <v>4355</v>
      </c>
      <c r="P295" s="1">
        <v>8</v>
      </c>
      <c r="W295" s="136">
        <v>3012</v>
      </c>
    </row>
    <row r="296" spans="14:23" x14ac:dyDescent="0.25">
      <c r="N296" s="1">
        <v>263</v>
      </c>
      <c r="O296" s="1" t="s">
        <v>4356</v>
      </c>
      <c r="P296" s="1">
        <v>18</v>
      </c>
      <c r="W296" s="136">
        <v>3020</v>
      </c>
    </row>
    <row r="297" spans="14:23" x14ac:dyDescent="0.25">
      <c r="N297" s="1">
        <v>264</v>
      </c>
      <c r="O297" s="1" t="s">
        <v>4357</v>
      </c>
      <c r="P297" s="1">
        <v>19</v>
      </c>
      <c r="W297" s="136">
        <v>3030</v>
      </c>
    </row>
    <row r="298" spans="14:23" x14ac:dyDescent="0.25">
      <c r="N298" s="1">
        <v>265</v>
      </c>
      <c r="O298" s="1" t="s">
        <v>4358</v>
      </c>
      <c r="P298" s="1">
        <v>2</v>
      </c>
      <c r="W298" s="136">
        <v>3040</v>
      </c>
    </row>
    <row r="299" spans="14:23" x14ac:dyDescent="0.25">
      <c r="N299" s="1">
        <v>266</v>
      </c>
      <c r="O299" s="1" t="s">
        <v>4359</v>
      </c>
      <c r="P299" s="1">
        <v>10</v>
      </c>
      <c r="W299" s="136">
        <v>3091</v>
      </c>
    </row>
    <row r="300" spans="14:23" x14ac:dyDescent="0.25">
      <c r="N300" s="1">
        <v>267</v>
      </c>
      <c r="O300" s="1" t="s">
        <v>4360</v>
      </c>
      <c r="P300" s="1">
        <v>17</v>
      </c>
      <c r="W300" s="136">
        <v>3092</v>
      </c>
    </row>
    <row r="301" spans="14:23" x14ac:dyDescent="0.25">
      <c r="N301" s="1">
        <v>268</v>
      </c>
      <c r="O301" s="1" t="s">
        <v>4361</v>
      </c>
      <c r="P301" s="1">
        <v>19</v>
      </c>
      <c r="W301" s="136">
        <v>3099</v>
      </c>
    </row>
    <row r="302" spans="14:23" x14ac:dyDescent="0.25">
      <c r="N302" s="1">
        <v>270</v>
      </c>
      <c r="O302" s="1" t="s">
        <v>4362</v>
      </c>
      <c r="P302" s="1">
        <v>6</v>
      </c>
      <c r="W302" s="136">
        <v>3101</v>
      </c>
    </row>
    <row r="303" spans="14:23" x14ac:dyDescent="0.25">
      <c r="N303" s="1">
        <v>271</v>
      </c>
      <c r="O303" s="1" t="s">
        <v>4363</v>
      </c>
      <c r="P303" s="1">
        <v>14</v>
      </c>
      <c r="W303" s="136">
        <v>3102</v>
      </c>
    </row>
    <row r="304" spans="14:23" x14ac:dyDescent="0.25">
      <c r="N304" s="1">
        <v>273</v>
      </c>
      <c r="O304" s="1" t="s">
        <v>4364</v>
      </c>
      <c r="P304" s="1">
        <v>8</v>
      </c>
      <c r="W304" s="136">
        <v>3103</v>
      </c>
    </row>
    <row r="305" spans="14:23" x14ac:dyDescent="0.25">
      <c r="N305" s="1">
        <v>274</v>
      </c>
      <c r="O305" s="1" t="s">
        <v>3068</v>
      </c>
      <c r="P305" s="1">
        <v>18</v>
      </c>
      <c r="W305" s="136">
        <v>3109</v>
      </c>
    </row>
    <row r="306" spans="14:23" x14ac:dyDescent="0.25">
      <c r="N306" s="1">
        <v>275</v>
      </c>
      <c r="O306" s="1" t="s">
        <v>3069</v>
      </c>
      <c r="P306" s="1">
        <v>8</v>
      </c>
      <c r="W306" s="136">
        <v>3211</v>
      </c>
    </row>
    <row r="307" spans="14:23" x14ac:dyDescent="0.25">
      <c r="N307" s="1">
        <v>276</v>
      </c>
      <c r="O307" s="1" t="s">
        <v>3070</v>
      </c>
      <c r="P307" s="1">
        <v>20</v>
      </c>
      <c r="W307" s="136">
        <v>3212</v>
      </c>
    </row>
    <row r="308" spans="14:23" x14ac:dyDescent="0.25">
      <c r="N308" s="1">
        <v>278</v>
      </c>
      <c r="O308" s="1" t="s">
        <v>3071</v>
      </c>
      <c r="P308" s="1">
        <v>14</v>
      </c>
      <c r="W308" s="136">
        <v>3213</v>
      </c>
    </row>
    <row r="309" spans="14:23" x14ac:dyDescent="0.25">
      <c r="N309" s="1">
        <v>279</v>
      </c>
      <c r="O309" s="1" t="s">
        <v>3072</v>
      </c>
      <c r="P309" s="1">
        <v>20</v>
      </c>
      <c r="W309" s="136">
        <v>3220</v>
      </c>
    </row>
    <row r="310" spans="14:23" x14ac:dyDescent="0.25">
      <c r="N310" s="1">
        <v>280</v>
      </c>
      <c r="O310" s="1" t="s">
        <v>3073</v>
      </c>
      <c r="P310" s="1">
        <v>17</v>
      </c>
      <c r="W310" s="136">
        <v>3230</v>
      </c>
    </row>
    <row r="311" spans="14:23" x14ac:dyDescent="0.25">
      <c r="N311" s="1">
        <v>281</v>
      </c>
      <c r="O311" s="1" t="s">
        <v>3074</v>
      </c>
      <c r="P311" s="1">
        <v>4</v>
      </c>
      <c r="W311" s="136">
        <v>3240</v>
      </c>
    </row>
    <row r="312" spans="14:23" x14ac:dyDescent="0.25">
      <c r="N312" s="1">
        <v>282</v>
      </c>
      <c r="O312" s="1" t="s">
        <v>3075</v>
      </c>
      <c r="P312" s="1">
        <v>13</v>
      </c>
      <c r="W312" s="136">
        <v>3250</v>
      </c>
    </row>
    <row r="313" spans="14:23" x14ac:dyDescent="0.25">
      <c r="N313" s="1">
        <v>283</v>
      </c>
      <c r="O313" s="1" t="s">
        <v>271</v>
      </c>
      <c r="P313" s="1">
        <v>10</v>
      </c>
      <c r="W313" s="136">
        <v>3291</v>
      </c>
    </row>
    <row r="314" spans="14:23" x14ac:dyDescent="0.25">
      <c r="N314" s="1">
        <v>284</v>
      </c>
      <c r="O314" s="1" t="s">
        <v>272</v>
      </c>
      <c r="P314" s="1">
        <v>12</v>
      </c>
      <c r="W314" s="136">
        <v>3299</v>
      </c>
    </row>
    <row r="315" spans="14:23" x14ac:dyDescent="0.25">
      <c r="N315" s="1">
        <v>285</v>
      </c>
      <c r="O315" s="1" t="s">
        <v>273</v>
      </c>
      <c r="P315" s="1">
        <v>12</v>
      </c>
      <c r="W315" s="136">
        <v>3311</v>
      </c>
    </row>
    <row r="316" spans="14:23" x14ac:dyDescent="0.25">
      <c r="N316" s="1">
        <v>287</v>
      </c>
      <c r="O316" s="1" t="s">
        <v>274</v>
      </c>
      <c r="P316" s="1">
        <v>7</v>
      </c>
      <c r="W316" s="136">
        <v>3312</v>
      </c>
    </row>
    <row r="317" spans="14:23" x14ac:dyDescent="0.25">
      <c r="N317" s="1">
        <v>288</v>
      </c>
      <c r="O317" s="1" t="s">
        <v>275</v>
      </c>
      <c r="P317" s="1">
        <v>9</v>
      </c>
      <c r="W317" s="136">
        <v>3313</v>
      </c>
    </row>
    <row r="318" spans="14:23" x14ac:dyDescent="0.25">
      <c r="N318" s="1">
        <v>289</v>
      </c>
      <c r="O318" s="1" t="s">
        <v>276</v>
      </c>
      <c r="P318" s="1">
        <v>5</v>
      </c>
      <c r="W318" s="136">
        <v>3314</v>
      </c>
    </row>
    <row r="319" spans="14:23" x14ac:dyDescent="0.25">
      <c r="N319" s="1">
        <v>290</v>
      </c>
      <c r="O319" s="1" t="s">
        <v>1053</v>
      </c>
      <c r="P319" s="1">
        <v>8</v>
      </c>
      <c r="W319" s="136">
        <v>3315</v>
      </c>
    </row>
    <row r="320" spans="14:23" x14ac:dyDescent="0.25">
      <c r="N320" s="1">
        <v>291</v>
      </c>
      <c r="O320" s="1" t="s">
        <v>1054</v>
      </c>
      <c r="P320" s="1">
        <v>18</v>
      </c>
      <c r="W320" s="136">
        <v>3316</v>
      </c>
    </row>
    <row r="321" spans="14:23" x14ac:dyDescent="0.25">
      <c r="N321" s="1">
        <v>292</v>
      </c>
      <c r="O321" s="1" t="s">
        <v>1055</v>
      </c>
      <c r="P321" s="1">
        <v>6</v>
      </c>
      <c r="W321" s="136">
        <v>3317</v>
      </c>
    </row>
    <row r="322" spans="14:23" x14ac:dyDescent="0.25">
      <c r="N322" s="1">
        <v>293</v>
      </c>
      <c r="O322" s="1" t="s">
        <v>3823</v>
      </c>
      <c r="P322" s="1">
        <v>3</v>
      </c>
      <c r="W322" s="136">
        <v>3319</v>
      </c>
    </row>
    <row r="323" spans="14:23" x14ac:dyDescent="0.25">
      <c r="N323" s="1">
        <v>294</v>
      </c>
      <c r="O323" s="1" t="s">
        <v>3824</v>
      </c>
      <c r="P323" s="1">
        <v>16</v>
      </c>
      <c r="W323" s="136">
        <v>3320</v>
      </c>
    </row>
    <row r="324" spans="14:23" x14ac:dyDescent="0.25">
      <c r="N324" s="1">
        <v>295</v>
      </c>
      <c r="O324" s="1" t="s">
        <v>3825</v>
      </c>
      <c r="P324" s="1">
        <v>16</v>
      </c>
      <c r="W324" s="136">
        <v>3511</v>
      </c>
    </row>
    <row r="325" spans="14:23" x14ac:dyDescent="0.25">
      <c r="N325" s="1">
        <v>296</v>
      </c>
      <c r="O325" s="1" t="s">
        <v>3826</v>
      </c>
      <c r="P325" s="1">
        <v>13</v>
      </c>
      <c r="W325" s="136">
        <v>3512</v>
      </c>
    </row>
    <row r="326" spans="14:23" x14ac:dyDescent="0.25">
      <c r="N326" s="1">
        <v>297</v>
      </c>
      <c r="O326" s="1" t="s">
        <v>3827</v>
      </c>
      <c r="P326" s="1">
        <v>4</v>
      </c>
      <c r="W326" s="136">
        <v>3513</v>
      </c>
    </row>
    <row r="327" spans="14:23" x14ac:dyDescent="0.25">
      <c r="N327" s="1">
        <v>298</v>
      </c>
      <c r="O327" s="1" t="s">
        <v>3828</v>
      </c>
      <c r="P327" s="1">
        <v>15</v>
      </c>
      <c r="W327" s="136">
        <v>3514</v>
      </c>
    </row>
    <row r="328" spans="14:23" x14ac:dyDescent="0.25">
      <c r="N328" s="1">
        <v>299</v>
      </c>
      <c r="O328" s="1" t="s">
        <v>3829</v>
      </c>
      <c r="P328" s="1">
        <v>12</v>
      </c>
      <c r="W328" s="136">
        <v>3521</v>
      </c>
    </row>
    <row r="329" spans="14:23" x14ac:dyDescent="0.25">
      <c r="N329" s="1">
        <v>300</v>
      </c>
      <c r="O329" s="1" t="s">
        <v>3830</v>
      </c>
      <c r="P329" s="1">
        <v>17</v>
      </c>
      <c r="W329" s="136">
        <v>3522</v>
      </c>
    </row>
    <row r="330" spans="14:23" x14ac:dyDescent="0.25">
      <c r="N330" s="1">
        <v>301</v>
      </c>
      <c r="O330" s="1" t="s">
        <v>3831</v>
      </c>
      <c r="P330" s="1">
        <v>8</v>
      </c>
      <c r="W330" s="136">
        <v>3523</v>
      </c>
    </row>
    <row r="331" spans="14:23" x14ac:dyDescent="0.25">
      <c r="N331" s="1">
        <v>302</v>
      </c>
      <c r="O331" s="1" t="s">
        <v>3832</v>
      </c>
      <c r="P331" s="1">
        <v>8</v>
      </c>
      <c r="W331" s="136">
        <v>3530</v>
      </c>
    </row>
    <row r="332" spans="14:23" x14ac:dyDescent="0.25">
      <c r="N332" s="1">
        <v>303</v>
      </c>
      <c r="O332" s="1" t="s">
        <v>3833</v>
      </c>
      <c r="P332" s="1">
        <v>12</v>
      </c>
      <c r="W332" s="136">
        <v>3600</v>
      </c>
    </row>
    <row r="333" spans="14:23" x14ac:dyDescent="0.25">
      <c r="N333" s="1">
        <v>304</v>
      </c>
      <c r="O333" s="1" t="s">
        <v>3834</v>
      </c>
      <c r="P333" s="1">
        <v>18</v>
      </c>
      <c r="W333" s="136">
        <v>3700</v>
      </c>
    </row>
    <row r="334" spans="14:23" x14ac:dyDescent="0.25">
      <c r="N334" s="1">
        <v>306</v>
      </c>
      <c r="O334" s="1" t="s">
        <v>3835</v>
      </c>
      <c r="P334" s="1">
        <v>19</v>
      </c>
      <c r="W334" s="136">
        <v>3811</v>
      </c>
    </row>
    <row r="335" spans="14:23" x14ac:dyDescent="0.25">
      <c r="N335" s="1">
        <v>307</v>
      </c>
      <c r="O335" s="1" t="s">
        <v>3836</v>
      </c>
      <c r="P335" s="1">
        <v>10</v>
      </c>
      <c r="W335" s="136">
        <v>3812</v>
      </c>
    </row>
    <row r="336" spans="14:23" x14ac:dyDescent="0.25">
      <c r="N336" s="1">
        <v>308</v>
      </c>
      <c r="O336" s="1" t="s">
        <v>3837</v>
      </c>
      <c r="P336" s="1">
        <v>19</v>
      </c>
      <c r="W336" s="136">
        <v>3821</v>
      </c>
    </row>
    <row r="337" spans="14:23" x14ac:dyDescent="0.25">
      <c r="N337" s="1">
        <v>309</v>
      </c>
      <c r="O337" s="1" t="s">
        <v>3838</v>
      </c>
      <c r="P337" s="1">
        <v>12</v>
      </c>
      <c r="W337" s="136">
        <v>3822</v>
      </c>
    </row>
    <row r="338" spans="14:23" x14ac:dyDescent="0.25">
      <c r="N338" s="1">
        <v>310</v>
      </c>
      <c r="O338" s="1" t="s">
        <v>3839</v>
      </c>
      <c r="P338" s="1">
        <v>15</v>
      </c>
      <c r="W338" s="136">
        <v>3831</v>
      </c>
    </row>
    <row r="339" spans="14:23" x14ac:dyDescent="0.25">
      <c r="N339" s="1">
        <v>311</v>
      </c>
      <c r="O339" s="1" t="s">
        <v>3840</v>
      </c>
      <c r="P339" s="1">
        <v>2</v>
      </c>
      <c r="W339" s="136">
        <v>3832</v>
      </c>
    </row>
    <row r="340" spans="14:23" x14ac:dyDescent="0.25">
      <c r="N340" s="1">
        <v>312</v>
      </c>
      <c r="O340" s="1" t="s">
        <v>3841</v>
      </c>
      <c r="P340" s="1">
        <v>14</v>
      </c>
      <c r="W340" s="136">
        <v>3900</v>
      </c>
    </row>
    <row r="341" spans="14:23" x14ac:dyDescent="0.25">
      <c r="N341" s="1">
        <v>313</v>
      </c>
      <c r="O341" s="1" t="s">
        <v>3842</v>
      </c>
      <c r="P341" s="1">
        <v>9</v>
      </c>
      <c r="W341" s="136">
        <v>4110</v>
      </c>
    </row>
    <row r="342" spans="14:23" x14ac:dyDescent="0.25">
      <c r="N342" s="1">
        <v>314</v>
      </c>
      <c r="O342" s="1" t="s">
        <v>3843</v>
      </c>
      <c r="P342" s="1">
        <v>17</v>
      </c>
      <c r="W342" s="136">
        <v>4120</v>
      </c>
    </row>
    <row r="343" spans="14:23" x14ac:dyDescent="0.25">
      <c r="N343" s="1">
        <v>315</v>
      </c>
      <c r="O343" s="1" t="s">
        <v>3844</v>
      </c>
      <c r="P343" s="1">
        <v>4</v>
      </c>
      <c r="W343" s="136">
        <v>4211</v>
      </c>
    </row>
    <row r="344" spans="14:23" x14ac:dyDescent="0.25">
      <c r="N344" s="1">
        <v>316</v>
      </c>
      <c r="O344" s="1" t="s">
        <v>3845</v>
      </c>
      <c r="P344" s="1">
        <v>13</v>
      </c>
      <c r="W344" s="136">
        <v>4212</v>
      </c>
    </row>
    <row r="345" spans="14:23" x14ac:dyDescent="0.25">
      <c r="N345" s="1">
        <v>317</v>
      </c>
      <c r="O345" s="1" t="s">
        <v>3846</v>
      </c>
      <c r="P345" s="1">
        <v>13</v>
      </c>
      <c r="W345" s="136">
        <v>4213</v>
      </c>
    </row>
    <row r="346" spans="14:23" x14ac:dyDescent="0.25">
      <c r="N346" s="1">
        <v>318</v>
      </c>
      <c r="O346" s="1" t="s">
        <v>3847</v>
      </c>
      <c r="P346" s="1">
        <v>11</v>
      </c>
      <c r="W346" s="136">
        <v>4221</v>
      </c>
    </row>
    <row r="347" spans="14:23" x14ac:dyDescent="0.25">
      <c r="N347" s="1">
        <v>320</v>
      </c>
      <c r="O347" s="1" t="s">
        <v>3848</v>
      </c>
      <c r="P347" s="1">
        <v>13</v>
      </c>
      <c r="W347" s="136">
        <v>4222</v>
      </c>
    </row>
    <row r="348" spans="14:23" x14ac:dyDescent="0.25">
      <c r="N348" s="1">
        <v>321</v>
      </c>
      <c r="O348" s="1" t="s">
        <v>3849</v>
      </c>
      <c r="P348" s="1">
        <v>18</v>
      </c>
      <c r="W348" s="136">
        <v>4291</v>
      </c>
    </row>
    <row r="349" spans="14:23" x14ac:dyDescent="0.25">
      <c r="N349" s="1">
        <v>323</v>
      </c>
      <c r="O349" s="1" t="s">
        <v>3850</v>
      </c>
      <c r="P349" s="1">
        <v>9</v>
      </c>
      <c r="W349" s="136">
        <v>4299</v>
      </c>
    </row>
    <row r="350" spans="14:23" x14ac:dyDescent="0.25">
      <c r="N350" s="1">
        <v>324</v>
      </c>
      <c r="O350" s="1" t="s">
        <v>3851</v>
      </c>
      <c r="P350" s="1">
        <v>6</v>
      </c>
      <c r="W350" s="136">
        <v>4311</v>
      </c>
    </row>
    <row r="351" spans="14:23" x14ac:dyDescent="0.25">
      <c r="N351" s="1">
        <v>325</v>
      </c>
      <c r="O351" s="1" t="s">
        <v>3852</v>
      </c>
      <c r="P351" s="1">
        <v>14</v>
      </c>
      <c r="W351" s="136">
        <v>4312</v>
      </c>
    </row>
    <row r="352" spans="14:23" x14ac:dyDescent="0.25">
      <c r="N352" s="1">
        <v>326</v>
      </c>
      <c r="O352" s="1" t="s">
        <v>3853</v>
      </c>
      <c r="P352" s="1">
        <v>5</v>
      </c>
      <c r="W352" s="136">
        <v>4313</v>
      </c>
    </row>
    <row r="353" spans="14:23" x14ac:dyDescent="0.25">
      <c r="N353" s="1">
        <v>327</v>
      </c>
      <c r="O353" s="1" t="s">
        <v>3854</v>
      </c>
      <c r="P353" s="1">
        <v>14</v>
      </c>
      <c r="W353" s="136">
        <v>4321</v>
      </c>
    </row>
    <row r="354" spans="14:23" x14ac:dyDescent="0.25">
      <c r="N354" s="1">
        <v>328</v>
      </c>
      <c r="O354" s="1" t="s">
        <v>3855</v>
      </c>
      <c r="P354" s="1">
        <v>3</v>
      </c>
      <c r="W354" s="136">
        <v>4322</v>
      </c>
    </row>
    <row r="355" spans="14:23" x14ac:dyDescent="0.25">
      <c r="N355" s="1">
        <v>329</v>
      </c>
      <c r="O355" s="1" t="s">
        <v>3856</v>
      </c>
      <c r="P355" s="1">
        <v>2</v>
      </c>
      <c r="W355" s="136">
        <v>4329</v>
      </c>
    </row>
    <row r="356" spans="14:23" x14ac:dyDescent="0.25">
      <c r="N356" s="1">
        <v>330</v>
      </c>
      <c r="O356" s="1" t="s">
        <v>3857</v>
      </c>
      <c r="P356" s="1">
        <v>18</v>
      </c>
      <c r="W356" s="136">
        <v>4331</v>
      </c>
    </row>
    <row r="357" spans="14:23" x14ac:dyDescent="0.25">
      <c r="N357" s="1">
        <v>331</v>
      </c>
      <c r="O357" s="1" t="s">
        <v>3858</v>
      </c>
      <c r="P357" s="1">
        <v>1</v>
      </c>
      <c r="W357" s="136">
        <v>4332</v>
      </c>
    </row>
    <row r="358" spans="14:23" x14ac:dyDescent="0.25">
      <c r="N358" s="1">
        <v>332</v>
      </c>
      <c r="O358" s="1" t="s">
        <v>3859</v>
      </c>
      <c r="P358" s="1">
        <v>10</v>
      </c>
      <c r="W358" s="136">
        <v>4333</v>
      </c>
    </row>
    <row r="359" spans="14:23" x14ac:dyDescent="0.25">
      <c r="N359" s="1">
        <v>333</v>
      </c>
      <c r="O359" s="1" t="s">
        <v>3860</v>
      </c>
      <c r="P359" s="1">
        <v>4</v>
      </c>
      <c r="W359" s="136">
        <v>4334</v>
      </c>
    </row>
    <row r="360" spans="14:23" x14ac:dyDescent="0.25">
      <c r="N360" s="1">
        <v>334</v>
      </c>
      <c r="O360" s="1" t="s">
        <v>3861</v>
      </c>
      <c r="P360" s="1">
        <v>11</v>
      </c>
      <c r="W360" s="136">
        <v>4339</v>
      </c>
    </row>
    <row r="361" spans="14:23" x14ac:dyDescent="0.25">
      <c r="N361" s="1">
        <v>335</v>
      </c>
      <c r="O361" s="1" t="s">
        <v>3862</v>
      </c>
      <c r="P361" s="1">
        <v>19</v>
      </c>
      <c r="W361" s="136">
        <v>4391</v>
      </c>
    </row>
    <row r="362" spans="14:23" x14ac:dyDescent="0.25">
      <c r="N362" s="1">
        <v>337</v>
      </c>
      <c r="O362" s="1" t="s">
        <v>3863</v>
      </c>
      <c r="P362" s="1">
        <v>17</v>
      </c>
      <c r="W362" s="136">
        <v>4399</v>
      </c>
    </row>
    <row r="363" spans="14:23" x14ac:dyDescent="0.25">
      <c r="N363" s="1">
        <v>338</v>
      </c>
      <c r="O363" s="1" t="s">
        <v>3864</v>
      </c>
      <c r="P363" s="1">
        <v>12</v>
      </c>
      <c r="W363" s="136">
        <v>4511</v>
      </c>
    </row>
    <row r="364" spans="14:23" x14ac:dyDescent="0.25">
      <c r="N364" s="1">
        <v>339</v>
      </c>
      <c r="O364" s="1" t="s">
        <v>3865</v>
      </c>
      <c r="P364" s="1">
        <v>17</v>
      </c>
      <c r="W364" s="136">
        <v>4519</v>
      </c>
    </row>
    <row r="365" spans="14:23" x14ac:dyDescent="0.25">
      <c r="N365" s="1">
        <v>340</v>
      </c>
      <c r="O365" s="1" t="s">
        <v>3866</v>
      </c>
      <c r="P365" s="1">
        <v>14</v>
      </c>
      <c r="W365" s="136">
        <v>4520</v>
      </c>
    </row>
    <row r="366" spans="14:23" x14ac:dyDescent="0.25">
      <c r="N366" s="1">
        <v>341</v>
      </c>
      <c r="O366" s="1" t="s">
        <v>3867</v>
      </c>
      <c r="P366" s="1">
        <v>17</v>
      </c>
      <c r="W366" s="136">
        <v>4531</v>
      </c>
    </row>
    <row r="367" spans="14:23" x14ac:dyDescent="0.25">
      <c r="N367" s="1">
        <v>342</v>
      </c>
      <c r="O367" s="1" t="s">
        <v>3868</v>
      </c>
      <c r="P367" s="1">
        <v>20</v>
      </c>
      <c r="W367" s="136">
        <v>4532</v>
      </c>
    </row>
    <row r="368" spans="14:23" x14ac:dyDescent="0.25">
      <c r="N368" s="1">
        <v>343</v>
      </c>
      <c r="O368" s="1" t="s">
        <v>3869</v>
      </c>
      <c r="P368" s="1">
        <v>19</v>
      </c>
      <c r="W368" s="136">
        <v>4540</v>
      </c>
    </row>
    <row r="369" spans="14:23" x14ac:dyDescent="0.25">
      <c r="N369" s="1">
        <v>344</v>
      </c>
      <c r="O369" s="1" t="s">
        <v>3870</v>
      </c>
      <c r="P369" s="1">
        <v>13</v>
      </c>
      <c r="W369" s="136">
        <v>4611</v>
      </c>
    </row>
    <row r="370" spans="14:23" x14ac:dyDescent="0.25">
      <c r="N370" s="1">
        <v>345</v>
      </c>
      <c r="O370" s="1" t="s">
        <v>3871</v>
      </c>
      <c r="P370" s="1">
        <v>13</v>
      </c>
      <c r="W370" s="136">
        <v>4612</v>
      </c>
    </row>
    <row r="371" spans="14:23" x14ac:dyDescent="0.25">
      <c r="N371" s="1">
        <v>346</v>
      </c>
      <c r="O371" s="1" t="s">
        <v>3872</v>
      </c>
      <c r="P371" s="1">
        <v>14</v>
      </c>
      <c r="W371" s="136">
        <v>4613</v>
      </c>
    </row>
    <row r="372" spans="14:23" x14ac:dyDescent="0.25">
      <c r="N372" s="1">
        <v>347</v>
      </c>
      <c r="O372" s="1" t="s">
        <v>3873</v>
      </c>
      <c r="P372" s="1">
        <v>3</v>
      </c>
      <c r="W372" s="136">
        <v>4614</v>
      </c>
    </row>
    <row r="373" spans="14:23" x14ac:dyDescent="0.25">
      <c r="N373" s="1">
        <v>348</v>
      </c>
      <c r="O373" s="1" t="s">
        <v>3874</v>
      </c>
      <c r="P373" s="1">
        <v>18</v>
      </c>
      <c r="W373" s="136">
        <v>4615</v>
      </c>
    </row>
    <row r="374" spans="14:23" x14ac:dyDescent="0.25">
      <c r="N374" s="1">
        <v>349</v>
      </c>
      <c r="O374" s="1" t="s">
        <v>3875</v>
      </c>
      <c r="P374" s="1">
        <v>13</v>
      </c>
      <c r="W374" s="136">
        <v>4616</v>
      </c>
    </row>
    <row r="375" spans="14:23" x14ac:dyDescent="0.25">
      <c r="N375" s="1">
        <v>350</v>
      </c>
      <c r="O375" s="1" t="s">
        <v>3876</v>
      </c>
      <c r="P375" s="1">
        <v>17</v>
      </c>
      <c r="W375" s="136">
        <v>4617</v>
      </c>
    </row>
    <row r="376" spans="14:23" x14ac:dyDescent="0.25">
      <c r="N376" s="1">
        <v>351</v>
      </c>
      <c r="O376" s="1" t="s">
        <v>3877</v>
      </c>
      <c r="P376" s="1">
        <v>11</v>
      </c>
      <c r="W376" s="136">
        <v>4618</v>
      </c>
    </row>
    <row r="377" spans="14:23" x14ac:dyDescent="0.25">
      <c r="N377" s="1">
        <v>352</v>
      </c>
      <c r="O377" s="1" t="s">
        <v>3878</v>
      </c>
      <c r="P377" s="1">
        <v>2</v>
      </c>
      <c r="W377" s="136">
        <v>4619</v>
      </c>
    </row>
    <row r="378" spans="14:23" x14ac:dyDescent="0.25">
      <c r="N378" s="1">
        <v>354</v>
      </c>
      <c r="O378" s="1" t="s">
        <v>3879</v>
      </c>
      <c r="P378" s="1">
        <v>13</v>
      </c>
      <c r="W378" s="136">
        <v>4621</v>
      </c>
    </row>
    <row r="379" spans="14:23" x14ac:dyDescent="0.25">
      <c r="N379" s="1">
        <v>355</v>
      </c>
      <c r="O379" s="1" t="s">
        <v>3880</v>
      </c>
      <c r="P379" s="1">
        <v>20</v>
      </c>
      <c r="W379" s="136">
        <v>4622</v>
      </c>
    </row>
    <row r="380" spans="14:23" x14ac:dyDescent="0.25">
      <c r="N380" s="1">
        <v>356</v>
      </c>
      <c r="O380" s="1" t="s">
        <v>3881</v>
      </c>
      <c r="P380" s="1">
        <v>1</v>
      </c>
      <c r="W380" s="136">
        <v>4623</v>
      </c>
    </row>
    <row r="381" spans="14:23" x14ac:dyDescent="0.25">
      <c r="N381" s="1">
        <v>357</v>
      </c>
      <c r="O381" s="1" t="s">
        <v>3882</v>
      </c>
      <c r="P381" s="1">
        <v>15</v>
      </c>
      <c r="W381" s="136">
        <v>4624</v>
      </c>
    </row>
    <row r="382" spans="14:23" x14ac:dyDescent="0.25">
      <c r="N382" s="1">
        <v>358</v>
      </c>
      <c r="O382" s="1" t="s">
        <v>3883</v>
      </c>
      <c r="P382" s="1">
        <v>17</v>
      </c>
      <c r="W382" s="136">
        <v>4631</v>
      </c>
    </row>
    <row r="383" spans="14:23" x14ac:dyDescent="0.25">
      <c r="N383" s="1">
        <v>359</v>
      </c>
      <c r="O383" s="1" t="s">
        <v>3884</v>
      </c>
      <c r="P383" s="1">
        <v>18</v>
      </c>
      <c r="W383" s="136">
        <v>4632</v>
      </c>
    </row>
    <row r="384" spans="14:23" x14ac:dyDescent="0.25">
      <c r="N384" s="1">
        <v>360</v>
      </c>
      <c r="O384" s="1" t="s">
        <v>3885</v>
      </c>
      <c r="P384" s="1">
        <v>8</v>
      </c>
      <c r="W384" s="136">
        <v>4633</v>
      </c>
    </row>
    <row r="385" spans="14:23" x14ac:dyDescent="0.25">
      <c r="N385" s="1">
        <v>361</v>
      </c>
      <c r="O385" s="1" t="s">
        <v>3886</v>
      </c>
      <c r="P385" s="1">
        <v>14</v>
      </c>
      <c r="W385" s="136">
        <v>4634</v>
      </c>
    </row>
    <row r="386" spans="14:23" x14ac:dyDescent="0.25">
      <c r="N386" s="1">
        <v>362</v>
      </c>
      <c r="O386" s="1" t="s">
        <v>3887</v>
      </c>
      <c r="P386" s="1">
        <v>1</v>
      </c>
      <c r="W386" s="136">
        <v>4635</v>
      </c>
    </row>
    <row r="387" spans="14:23" x14ac:dyDescent="0.25">
      <c r="N387" s="1">
        <v>363</v>
      </c>
      <c r="O387" s="1" t="s">
        <v>3888</v>
      </c>
      <c r="P387" s="1">
        <v>8</v>
      </c>
      <c r="W387" s="136">
        <v>4636</v>
      </c>
    </row>
    <row r="388" spans="14:23" x14ac:dyDescent="0.25">
      <c r="N388" s="1">
        <v>364</v>
      </c>
      <c r="O388" s="1" t="s">
        <v>3889</v>
      </c>
      <c r="P388" s="1">
        <v>2</v>
      </c>
      <c r="W388" s="136">
        <v>4637</v>
      </c>
    </row>
    <row r="389" spans="14:23" x14ac:dyDescent="0.25">
      <c r="N389" s="1">
        <v>365</v>
      </c>
      <c r="O389" s="1" t="s">
        <v>3890</v>
      </c>
      <c r="P389" s="1">
        <v>4</v>
      </c>
      <c r="W389" s="136">
        <v>4638</v>
      </c>
    </row>
    <row r="390" spans="14:23" x14ac:dyDescent="0.25">
      <c r="N390" s="1">
        <v>366</v>
      </c>
      <c r="O390" s="1" t="s">
        <v>3891</v>
      </c>
      <c r="P390" s="1">
        <v>6</v>
      </c>
      <c r="W390" s="136">
        <v>4639</v>
      </c>
    </row>
    <row r="391" spans="14:23" x14ac:dyDescent="0.25">
      <c r="N391" s="1">
        <v>368</v>
      </c>
      <c r="O391" s="1" t="s">
        <v>3892</v>
      </c>
      <c r="P391" s="1">
        <v>18</v>
      </c>
      <c r="W391" s="136">
        <v>4641</v>
      </c>
    </row>
    <row r="392" spans="14:23" x14ac:dyDescent="0.25">
      <c r="N392" s="1">
        <v>369</v>
      </c>
      <c r="O392" s="1" t="s">
        <v>3893</v>
      </c>
      <c r="P392" s="1">
        <v>8</v>
      </c>
      <c r="W392" s="136">
        <v>4642</v>
      </c>
    </row>
    <row r="393" spans="14:23" x14ac:dyDescent="0.25">
      <c r="N393" s="1">
        <v>371</v>
      </c>
      <c r="O393" s="1" t="s">
        <v>3894</v>
      </c>
      <c r="P393" s="1">
        <v>13</v>
      </c>
      <c r="W393" s="136">
        <v>4643</v>
      </c>
    </row>
    <row r="394" spans="14:23" x14ac:dyDescent="0.25">
      <c r="N394" s="1">
        <v>372</v>
      </c>
      <c r="O394" s="1" t="s">
        <v>3895</v>
      </c>
      <c r="P394" s="1">
        <v>12</v>
      </c>
      <c r="W394" s="136">
        <v>4644</v>
      </c>
    </row>
    <row r="395" spans="14:23" x14ac:dyDescent="0.25">
      <c r="N395" s="1">
        <v>373</v>
      </c>
      <c r="O395" s="1" t="s">
        <v>3896</v>
      </c>
      <c r="P395" s="1">
        <v>8</v>
      </c>
      <c r="W395" s="136">
        <v>4645</v>
      </c>
    </row>
    <row r="396" spans="14:23" x14ac:dyDescent="0.25">
      <c r="N396" s="1">
        <v>374</v>
      </c>
      <c r="O396" s="1" t="s">
        <v>3897</v>
      </c>
      <c r="P396" s="1">
        <v>18</v>
      </c>
      <c r="W396" s="136">
        <v>4646</v>
      </c>
    </row>
    <row r="397" spans="14:23" x14ac:dyDescent="0.25">
      <c r="N397" s="1">
        <v>375</v>
      </c>
      <c r="O397" s="1" t="s">
        <v>3898</v>
      </c>
      <c r="P397" s="1">
        <v>7</v>
      </c>
      <c r="W397" s="136">
        <v>4647</v>
      </c>
    </row>
    <row r="398" spans="14:23" x14ac:dyDescent="0.25">
      <c r="N398" s="1">
        <v>376</v>
      </c>
      <c r="O398" s="1" t="s">
        <v>3899</v>
      </c>
      <c r="P398" s="1">
        <v>1</v>
      </c>
      <c r="W398" s="136">
        <v>4648</v>
      </c>
    </row>
    <row r="399" spans="14:23" x14ac:dyDescent="0.25">
      <c r="N399" s="1">
        <v>377</v>
      </c>
      <c r="O399" s="1" t="s">
        <v>3900</v>
      </c>
      <c r="P399" s="1">
        <v>15</v>
      </c>
      <c r="W399" s="136">
        <v>4649</v>
      </c>
    </row>
    <row r="400" spans="14:23" x14ac:dyDescent="0.25">
      <c r="N400" s="1">
        <v>378</v>
      </c>
      <c r="O400" s="1" t="s">
        <v>3901</v>
      </c>
      <c r="P400" s="1">
        <v>4</v>
      </c>
      <c r="W400" s="136">
        <v>4651</v>
      </c>
    </row>
    <row r="401" spans="14:23" x14ac:dyDescent="0.25">
      <c r="N401" s="1">
        <v>379</v>
      </c>
      <c r="O401" s="1" t="s">
        <v>3902</v>
      </c>
      <c r="P401" s="1">
        <v>13</v>
      </c>
      <c r="W401" s="136">
        <v>4652</v>
      </c>
    </row>
    <row r="402" spans="14:23" x14ac:dyDescent="0.25">
      <c r="N402" s="1">
        <v>380</v>
      </c>
      <c r="O402" s="1" t="s">
        <v>3903</v>
      </c>
      <c r="P402" s="1">
        <v>1</v>
      </c>
      <c r="W402" s="136">
        <v>4661</v>
      </c>
    </row>
    <row r="403" spans="14:23" x14ac:dyDescent="0.25">
      <c r="N403" s="1">
        <v>381</v>
      </c>
      <c r="O403" s="1" t="s">
        <v>3904</v>
      </c>
      <c r="P403" s="1">
        <v>14</v>
      </c>
      <c r="W403" s="136">
        <v>4662</v>
      </c>
    </row>
    <row r="404" spans="14:23" x14ac:dyDescent="0.25">
      <c r="N404" s="1">
        <v>382</v>
      </c>
      <c r="O404" s="1" t="s">
        <v>3905</v>
      </c>
      <c r="P404" s="1">
        <v>17</v>
      </c>
      <c r="W404" s="136">
        <v>4663</v>
      </c>
    </row>
    <row r="405" spans="14:23" x14ac:dyDescent="0.25">
      <c r="N405" s="1">
        <v>383</v>
      </c>
      <c r="O405" s="1" t="s">
        <v>3906</v>
      </c>
      <c r="P405" s="1">
        <v>17</v>
      </c>
      <c r="W405" s="136">
        <v>4664</v>
      </c>
    </row>
    <row r="406" spans="14:23" x14ac:dyDescent="0.25">
      <c r="N406" s="1">
        <v>385</v>
      </c>
      <c r="O406" s="1" t="s">
        <v>3907</v>
      </c>
      <c r="P406" s="1">
        <v>20</v>
      </c>
      <c r="W406" s="136">
        <v>4665</v>
      </c>
    </row>
    <row r="407" spans="14:23" x14ac:dyDescent="0.25">
      <c r="N407" s="1">
        <v>386</v>
      </c>
      <c r="O407" s="1" t="s">
        <v>3908</v>
      </c>
      <c r="P407" s="1">
        <v>14</v>
      </c>
      <c r="W407" s="136">
        <v>4666</v>
      </c>
    </row>
    <row r="408" spans="14:23" x14ac:dyDescent="0.25">
      <c r="N408" s="1">
        <v>387</v>
      </c>
      <c r="O408" s="1" t="s">
        <v>3909</v>
      </c>
      <c r="P408" s="1">
        <v>9</v>
      </c>
      <c r="W408" s="136">
        <v>4669</v>
      </c>
    </row>
    <row r="409" spans="14:23" x14ac:dyDescent="0.25">
      <c r="N409" s="1">
        <v>388</v>
      </c>
      <c r="O409" s="1" t="s">
        <v>3910</v>
      </c>
      <c r="P409" s="1">
        <v>12</v>
      </c>
      <c r="W409" s="136">
        <v>4671</v>
      </c>
    </row>
    <row r="410" spans="14:23" x14ac:dyDescent="0.25">
      <c r="N410" s="1">
        <v>389</v>
      </c>
      <c r="O410" s="1" t="s">
        <v>3911</v>
      </c>
      <c r="P410" s="1">
        <v>17</v>
      </c>
      <c r="W410" s="136">
        <v>4672</v>
      </c>
    </row>
    <row r="411" spans="14:23" x14ac:dyDescent="0.25">
      <c r="N411" s="1">
        <v>390</v>
      </c>
      <c r="O411" s="1" t="s">
        <v>3912</v>
      </c>
      <c r="P411" s="1">
        <v>7</v>
      </c>
      <c r="W411" s="136">
        <v>4673</v>
      </c>
    </row>
    <row r="412" spans="14:23" x14ac:dyDescent="0.25">
      <c r="N412" s="1">
        <v>391</v>
      </c>
      <c r="O412" s="1" t="s">
        <v>3913</v>
      </c>
      <c r="P412" s="1">
        <v>3</v>
      </c>
      <c r="W412" s="136">
        <v>4674</v>
      </c>
    </row>
    <row r="413" spans="14:23" x14ac:dyDescent="0.25">
      <c r="N413" s="1">
        <v>393</v>
      </c>
      <c r="O413" s="1" t="s">
        <v>3914</v>
      </c>
      <c r="P413" s="1">
        <v>8</v>
      </c>
      <c r="W413" s="136">
        <v>4675</v>
      </c>
    </row>
    <row r="414" spans="14:23" x14ac:dyDescent="0.25">
      <c r="N414" s="1">
        <v>394</v>
      </c>
      <c r="O414" s="1" t="s">
        <v>3915</v>
      </c>
      <c r="P414" s="1">
        <v>15</v>
      </c>
      <c r="W414" s="136">
        <v>4676</v>
      </c>
    </row>
    <row r="415" spans="14:23" x14ac:dyDescent="0.25">
      <c r="N415" s="1">
        <v>395</v>
      </c>
      <c r="O415" s="1" t="s">
        <v>3916</v>
      </c>
      <c r="P415" s="1">
        <v>10</v>
      </c>
      <c r="W415" s="136">
        <v>4677</v>
      </c>
    </row>
    <row r="416" spans="14:23" x14ac:dyDescent="0.25">
      <c r="N416" s="1">
        <v>396</v>
      </c>
      <c r="O416" s="1" t="s">
        <v>3917</v>
      </c>
      <c r="P416" s="1">
        <v>12</v>
      </c>
      <c r="W416" s="136">
        <v>4690</v>
      </c>
    </row>
    <row r="417" spans="14:23" x14ac:dyDescent="0.25">
      <c r="N417" s="1">
        <v>397</v>
      </c>
      <c r="O417" s="1" t="s">
        <v>3918</v>
      </c>
      <c r="P417" s="1">
        <v>12</v>
      </c>
      <c r="W417" s="136">
        <v>4711</v>
      </c>
    </row>
    <row r="418" spans="14:23" x14ac:dyDescent="0.25">
      <c r="N418" s="1">
        <v>399</v>
      </c>
      <c r="O418" s="1" t="s">
        <v>3919</v>
      </c>
      <c r="P418" s="1">
        <v>19</v>
      </c>
      <c r="W418" s="136">
        <v>4719</v>
      </c>
    </row>
    <row r="419" spans="14:23" x14ac:dyDescent="0.25">
      <c r="N419" s="1">
        <v>400</v>
      </c>
      <c r="O419" s="1" t="s">
        <v>3920</v>
      </c>
      <c r="P419" s="1">
        <v>4</v>
      </c>
      <c r="W419" s="136">
        <v>4721</v>
      </c>
    </row>
    <row r="420" spans="14:23" x14ac:dyDescent="0.25">
      <c r="N420" s="1">
        <v>402</v>
      </c>
      <c r="O420" s="1" t="s">
        <v>3921</v>
      </c>
      <c r="P420" s="1">
        <v>19</v>
      </c>
      <c r="W420" s="136">
        <v>4722</v>
      </c>
    </row>
    <row r="421" spans="14:23" x14ac:dyDescent="0.25">
      <c r="N421" s="1">
        <v>405</v>
      </c>
      <c r="O421" s="1" t="s">
        <v>3922</v>
      </c>
      <c r="P421" s="1">
        <v>6</v>
      </c>
      <c r="W421" s="136">
        <v>4723</v>
      </c>
    </row>
    <row r="422" spans="14:23" x14ac:dyDescent="0.25">
      <c r="N422" s="1">
        <v>406</v>
      </c>
      <c r="O422" s="1" t="s">
        <v>3923</v>
      </c>
      <c r="P422" s="1">
        <v>17</v>
      </c>
      <c r="W422" s="136">
        <v>4724</v>
      </c>
    </row>
    <row r="423" spans="14:23" x14ac:dyDescent="0.25">
      <c r="N423" s="1">
        <v>407</v>
      </c>
      <c r="O423" s="1" t="s">
        <v>3924</v>
      </c>
      <c r="P423" s="1">
        <v>10</v>
      </c>
      <c r="W423" s="136">
        <v>4725</v>
      </c>
    </row>
    <row r="424" spans="14:23" x14ac:dyDescent="0.25">
      <c r="N424" s="1">
        <v>409</v>
      </c>
      <c r="O424" s="1" t="s">
        <v>3925</v>
      </c>
      <c r="P424" s="1">
        <v>17</v>
      </c>
      <c r="W424" s="136">
        <v>4726</v>
      </c>
    </row>
    <row r="425" spans="14:23" x14ac:dyDescent="0.25">
      <c r="N425" s="1">
        <v>410</v>
      </c>
      <c r="O425" s="1" t="s">
        <v>3926</v>
      </c>
      <c r="P425" s="1">
        <v>5</v>
      </c>
      <c r="W425" s="136">
        <v>4729</v>
      </c>
    </row>
    <row r="426" spans="14:23" x14ac:dyDescent="0.25">
      <c r="N426" s="1">
        <v>411</v>
      </c>
      <c r="O426" s="1" t="s">
        <v>3927</v>
      </c>
      <c r="P426" s="1">
        <v>13</v>
      </c>
      <c r="W426" s="136">
        <v>4730</v>
      </c>
    </row>
    <row r="427" spans="14:23" x14ac:dyDescent="0.25">
      <c r="N427" s="1">
        <v>412</v>
      </c>
      <c r="O427" s="1" t="s">
        <v>3928</v>
      </c>
      <c r="P427" s="1">
        <v>12</v>
      </c>
      <c r="W427" s="136">
        <v>4741</v>
      </c>
    </row>
    <row r="428" spans="14:23" x14ac:dyDescent="0.25">
      <c r="N428" s="1">
        <v>413</v>
      </c>
      <c r="O428" s="1" t="s">
        <v>3929</v>
      </c>
      <c r="P428" s="1">
        <v>17</v>
      </c>
      <c r="W428" s="136">
        <v>4742</v>
      </c>
    </row>
    <row r="429" spans="14:23" x14ac:dyDescent="0.25">
      <c r="N429" s="1">
        <v>414</v>
      </c>
      <c r="O429" s="1" t="s">
        <v>3930</v>
      </c>
      <c r="P429" s="1">
        <v>16</v>
      </c>
      <c r="W429" s="136">
        <v>4743</v>
      </c>
    </row>
    <row r="430" spans="14:23" x14ac:dyDescent="0.25">
      <c r="N430" s="1">
        <v>415</v>
      </c>
      <c r="O430" s="1" t="s">
        <v>3931</v>
      </c>
      <c r="P430" s="1">
        <v>16</v>
      </c>
      <c r="W430" s="136">
        <v>4751</v>
      </c>
    </row>
    <row r="431" spans="14:23" x14ac:dyDescent="0.25">
      <c r="N431" s="1">
        <v>416</v>
      </c>
      <c r="O431" s="1" t="s">
        <v>3932</v>
      </c>
      <c r="P431" s="1">
        <v>13</v>
      </c>
      <c r="W431" s="136">
        <v>4752</v>
      </c>
    </row>
    <row r="432" spans="14:23" x14ac:dyDescent="0.25">
      <c r="N432" s="1">
        <v>418</v>
      </c>
      <c r="O432" s="1" t="s">
        <v>3933</v>
      </c>
      <c r="P432" s="1">
        <v>12</v>
      </c>
      <c r="W432" s="136">
        <v>4753</v>
      </c>
    </row>
    <row r="433" spans="14:23" x14ac:dyDescent="0.25">
      <c r="N433" s="1">
        <v>419</v>
      </c>
      <c r="O433" s="1" t="s">
        <v>3934</v>
      </c>
      <c r="P433" s="1">
        <v>19</v>
      </c>
      <c r="W433" s="136">
        <v>4754</v>
      </c>
    </row>
    <row r="434" spans="14:23" x14ac:dyDescent="0.25">
      <c r="N434" s="1">
        <v>421</v>
      </c>
      <c r="O434" s="1" t="s">
        <v>3935</v>
      </c>
      <c r="P434" s="1">
        <v>14</v>
      </c>
      <c r="W434" s="136">
        <v>4759</v>
      </c>
    </row>
    <row r="435" spans="14:23" x14ac:dyDescent="0.25">
      <c r="N435" s="1">
        <v>422</v>
      </c>
      <c r="O435" s="1" t="s">
        <v>3936</v>
      </c>
      <c r="P435" s="1">
        <v>2</v>
      </c>
      <c r="W435" s="136">
        <v>4761</v>
      </c>
    </row>
    <row r="436" spans="14:23" x14ac:dyDescent="0.25">
      <c r="N436" s="1">
        <v>423</v>
      </c>
      <c r="O436" s="1" t="s">
        <v>3937</v>
      </c>
      <c r="P436" s="1">
        <v>17</v>
      </c>
      <c r="W436" s="136">
        <v>4762</v>
      </c>
    </row>
    <row r="437" spans="14:23" x14ac:dyDescent="0.25">
      <c r="N437" s="1">
        <v>424</v>
      </c>
      <c r="O437" s="1" t="s">
        <v>3938</v>
      </c>
      <c r="P437" s="1">
        <v>10</v>
      </c>
      <c r="W437" s="136">
        <v>4763</v>
      </c>
    </row>
    <row r="438" spans="14:23" x14ac:dyDescent="0.25">
      <c r="N438" s="1">
        <v>425</v>
      </c>
      <c r="O438" s="1" t="s">
        <v>3939</v>
      </c>
      <c r="P438" s="1">
        <v>13</v>
      </c>
      <c r="W438" s="136">
        <v>4764</v>
      </c>
    </row>
    <row r="439" spans="14:23" x14ac:dyDescent="0.25">
      <c r="N439" s="1">
        <v>426</v>
      </c>
      <c r="O439" s="1" t="s">
        <v>3940</v>
      </c>
      <c r="P439" s="1">
        <v>3</v>
      </c>
      <c r="W439" s="136">
        <v>4765</v>
      </c>
    </row>
    <row r="440" spans="14:23" x14ac:dyDescent="0.25">
      <c r="N440" s="1">
        <v>427</v>
      </c>
      <c r="O440" s="1" t="s">
        <v>3941</v>
      </c>
      <c r="P440" s="1">
        <v>17</v>
      </c>
      <c r="W440" s="136">
        <v>4771</v>
      </c>
    </row>
    <row r="441" spans="14:23" x14ac:dyDescent="0.25">
      <c r="N441" s="1">
        <v>428</v>
      </c>
      <c r="O441" s="1" t="s">
        <v>3942</v>
      </c>
      <c r="P441" s="1">
        <v>13</v>
      </c>
      <c r="W441" s="136">
        <v>4772</v>
      </c>
    </row>
    <row r="442" spans="14:23" x14ac:dyDescent="0.25">
      <c r="N442" s="1">
        <v>429</v>
      </c>
      <c r="O442" s="1" t="s">
        <v>3943</v>
      </c>
      <c r="P442" s="1">
        <v>1</v>
      </c>
      <c r="W442" s="136">
        <v>4773</v>
      </c>
    </row>
    <row r="443" spans="14:23" x14ac:dyDescent="0.25">
      <c r="N443" s="1">
        <v>430</v>
      </c>
      <c r="O443" s="1" t="s">
        <v>3944</v>
      </c>
      <c r="P443" s="1">
        <v>2</v>
      </c>
      <c r="W443" s="136">
        <v>4774</v>
      </c>
    </row>
    <row r="444" spans="14:23" x14ac:dyDescent="0.25">
      <c r="N444" s="1">
        <v>431</v>
      </c>
      <c r="O444" s="1" t="s">
        <v>3945</v>
      </c>
      <c r="P444" s="1">
        <v>18</v>
      </c>
      <c r="W444" s="136">
        <v>4775</v>
      </c>
    </row>
    <row r="445" spans="14:23" x14ac:dyDescent="0.25">
      <c r="N445" s="1">
        <v>432</v>
      </c>
      <c r="O445" s="1" t="s">
        <v>3946</v>
      </c>
      <c r="P445" s="1">
        <v>18</v>
      </c>
      <c r="W445" s="136">
        <v>4776</v>
      </c>
    </row>
    <row r="446" spans="14:23" x14ac:dyDescent="0.25">
      <c r="N446" s="1">
        <v>433</v>
      </c>
      <c r="O446" s="1" t="s">
        <v>3947</v>
      </c>
      <c r="P446" s="1">
        <v>18</v>
      </c>
      <c r="W446" s="136">
        <v>4777</v>
      </c>
    </row>
    <row r="447" spans="14:23" x14ac:dyDescent="0.25">
      <c r="N447" s="1">
        <v>435</v>
      </c>
      <c r="O447" s="1" t="s">
        <v>3948</v>
      </c>
      <c r="P447" s="1">
        <v>18</v>
      </c>
      <c r="W447" s="136">
        <v>4778</v>
      </c>
    </row>
    <row r="448" spans="14:23" x14ac:dyDescent="0.25">
      <c r="N448" s="1">
        <v>436</v>
      </c>
      <c r="O448" s="1" t="s">
        <v>3949</v>
      </c>
      <c r="P448" s="1">
        <v>1</v>
      </c>
      <c r="W448" s="136">
        <v>4779</v>
      </c>
    </row>
    <row r="449" spans="14:23" x14ac:dyDescent="0.25">
      <c r="N449" s="1">
        <v>437</v>
      </c>
      <c r="O449" s="1" t="s">
        <v>3950</v>
      </c>
      <c r="P449" s="1">
        <v>5</v>
      </c>
      <c r="W449" s="136">
        <v>4781</v>
      </c>
    </row>
    <row r="450" spans="14:23" x14ac:dyDescent="0.25">
      <c r="N450" s="1">
        <v>438</v>
      </c>
      <c r="O450" s="1" t="s">
        <v>3951</v>
      </c>
      <c r="P450" s="1">
        <v>5</v>
      </c>
      <c r="W450" s="136">
        <v>4782</v>
      </c>
    </row>
    <row r="451" spans="14:23" x14ac:dyDescent="0.25">
      <c r="N451" s="1">
        <v>439</v>
      </c>
      <c r="O451" s="1" t="s">
        <v>3952</v>
      </c>
      <c r="P451" s="1">
        <v>6</v>
      </c>
      <c r="W451" s="136">
        <v>4789</v>
      </c>
    </row>
    <row r="452" spans="14:23" x14ac:dyDescent="0.25">
      <c r="N452" s="1">
        <v>440</v>
      </c>
      <c r="O452" s="1" t="s">
        <v>3953</v>
      </c>
      <c r="P452" s="1">
        <v>20</v>
      </c>
      <c r="W452" s="136">
        <v>4791</v>
      </c>
    </row>
    <row r="453" spans="14:23" x14ac:dyDescent="0.25">
      <c r="N453" s="1">
        <v>441</v>
      </c>
      <c r="O453" s="1" t="s">
        <v>3954</v>
      </c>
      <c r="P453" s="1">
        <v>20</v>
      </c>
      <c r="W453" s="136">
        <v>4799</v>
      </c>
    </row>
    <row r="454" spans="14:23" x14ac:dyDescent="0.25">
      <c r="N454" s="1">
        <v>442</v>
      </c>
      <c r="O454" s="1" t="s">
        <v>3955</v>
      </c>
      <c r="P454" s="1">
        <v>6</v>
      </c>
      <c r="W454" s="136">
        <v>4910</v>
      </c>
    </row>
    <row r="455" spans="14:23" x14ac:dyDescent="0.25">
      <c r="N455" s="1">
        <v>443</v>
      </c>
      <c r="O455" s="1" t="s">
        <v>3956</v>
      </c>
      <c r="P455" s="1">
        <v>17</v>
      </c>
      <c r="W455" s="136">
        <v>4920</v>
      </c>
    </row>
    <row r="456" spans="14:23" x14ac:dyDescent="0.25">
      <c r="N456" s="1">
        <v>444</v>
      </c>
      <c r="O456" s="1" t="s">
        <v>3957</v>
      </c>
      <c r="P456" s="1">
        <v>15</v>
      </c>
      <c r="W456" s="136">
        <v>4931</v>
      </c>
    </row>
    <row r="457" spans="14:23" x14ac:dyDescent="0.25">
      <c r="N457" s="1">
        <v>445</v>
      </c>
      <c r="O457" s="1" t="s">
        <v>2576</v>
      </c>
      <c r="P457" s="1">
        <v>13</v>
      </c>
      <c r="W457" s="136">
        <v>4932</v>
      </c>
    </row>
    <row r="458" spans="14:23" x14ac:dyDescent="0.25">
      <c r="N458" s="1">
        <v>447</v>
      </c>
      <c r="O458" s="1" t="s">
        <v>2577</v>
      </c>
      <c r="P458" s="1">
        <v>17</v>
      </c>
      <c r="W458" s="136">
        <v>4939</v>
      </c>
    </row>
    <row r="459" spans="14:23" x14ac:dyDescent="0.25">
      <c r="N459" s="1">
        <v>449</v>
      </c>
      <c r="O459" s="1" t="s">
        <v>2578</v>
      </c>
      <c r="P459" s="1">
        <v>10</v>
      </c>
      <c r="W459" s="136">
        <v>4941</v>
      </c>
    </row>
    <row r="460" spans="14:23" x14ac:dyDescent="0.25">
      <c r="N460" s="1">
        <v>450</v>
      </c>
      <c r="O460" s="1" t="s">
        <v>2579</v>
      </c>
      <c r="P460" s="1">
        <v>7</v>
      </c>
      <c r="W460" s="136">
        <v>4942</v>
      </c>
    </row>
    <row r="461" spans="14:23" x14ac:dyDescent="0.25">
      <c r="N461" s="1">
        <v>452</v>
      </c>
      <c r="O461" s="1" t="s">
        <v>2580</v>
      </c>
      <c r="P461" s="1">
        <v>20</v>
      </c>
      <c r="W461" s="136">
        <v>4950</v>
      </c>
    </row>
    <row r="462" spans="14:23" x14ac:dyDescent="0.25">
      <c r="N462" s="1">
        <v>453</v>
      </c>
      <c r="O462" s="1" t="s">
        <v>2581</v>
      </c>
      <c r="P462" s="1">
        <v>18</v>
      </c>
      <c r="W462" s="136">
        <v>5010</v>
      </c>
    </row>
    <row r="463" spans="14:23" x14ac:dyDescent="0.25">
      <c r="N463" s="1">
        <v>454</v>
      </c>
      <c r="O463" s="1" t="s">
        <v>2582</v>
      </c>
      <c r="P463" s="1">
        <v>15</v>
      </c>
      <c r="W463" s="136">
        <v>5020</v>
      </c>
    </row>
    <row r="464" spans="14:23" x14ac:dyDescent="0.25">
      <c r="N464" s="1">
        <v>455</v>
      </c>
      <c r="O464" s="1" t="s">
        <v>2583</v>
      </c>
      <c r="P464" s="1">
        <v>9</v>
      </c>
      <c r="W464" s="136">
        <v>5030</v>
      </c>
    </row>
    <row r="465" spans="14:23" x14ac:dyDescent="0.25">
      <c r="N465" s="1">
        <v>456</v>
      </c>
      <c r="O465" s="1" t="s">
        <v>2584</v>
      </c>
      <c r="P465" s="1">
        <v>16</v>
      </c>
      <c r="W465" s="136">
        <v>5040</v>
      </c>
    </row>
    <row r="466" spans="14:23" x14ac:dyDescent="0.25">
      <c r="N466" s="1">
        <v>457</v>
      </c>
      <c r="O466" s="1" t="s">
        <v>2585</v>
      </c>
      <c r="P466" s="1">
        <v>3</v>
      </c>
      <c r="W466" s="136">
        <v>5110</v>
      </c>
    </row>
    <row r="467" spans="14:23" x14ac:dyDescent="0.25">
      <c r="N467" s="1">
        <v>458</v>
      </c>
      <c r="O467" s="1" t="s">
        <v>2586</v>
      </c>
      <c r="P467" s="1">
        <v>16</v>
      </c>
      <c r="W467" s="136">
        <v>5121</v>
      </c>
    </row>
    <row r="468" spans="14:23" x14ac:dyDescent="0.25">
      <c r="N468" s="1">
        <v>459</v>
      </c>
      <c r="O468" s="1" t="s">
        <v>2587</v>
      </c>
      <c r="P468" s="1">
        <v>16</v>
      </c>
      <c r="W468" s="136">
        <v>5122</v>
      </c>
    </row>
    <row r="469" spans="14:23" x14ac:dyDescent="0.25">
      <c r="N469" s="1">
        <v>460</v>
      </c>
      <c r="O469" s="1" t="s">
        <v>2588</v>
      </c>
      <c r="P469" s="1">
        <v>17</v>
      </c>
      <c r="W469" s="136">
        <v>5210</v>
      </c>
    </row>
    <row r="470" spans="14:23" x14ac:dyDescent="0.25">
      <c r="N470" s="1">
        <v>461</v>
      </c>
      <c r="O470" s="1" t="s">
        <v>2589</v>
      </c>
      <c r="P470" s="1">
        <v>14</v>
      </c>
      <c r="W470" s="136">
        <v>5221</v>
      </c>
    </row>
    <row r="471" spans="14:23" x14ac:dyDescent="0.25">
      <c r="N471" s="1">
        <v>462</v>
      </c>
      <c r="O471" s="1" t="s">
        <v>2590</v>
      </c>
      <c r="P471" s="1">
        <v>5</v>
      </c>
      <c r="W471" s="136">
        <v>5222</v>
      </c>
    </row>
    <row r="472" spans="14:23" x14ac:dyDescent="0.25">
      <c r="N472" s="1">
        <v>463</v>
      </c>
      <c r="O472" s="1" t="s">
        <v>2591</v>
      </c>
      <c r="P472" s="1">
        <v>17</v>
      </c>
      <c r="W472" s="136">
        <v>5223</v>
      </c>
    </row>
    <row r="473" spans="14:23" x14ac:dyDescent="0.25">
      <c r="N473" s="1">
        <v>464</v>
      </c>
      <c r="O473" s="1" t="s">
        <v>2592</v>
      </c>
      <c r="P473" s="1">
        <v>16</v>
      </c>
      <c r="W473" s="136">
        <v>5224</v>
      </c>
    </row>
    <row r="474" spans="14:23" x14ac:dyDescent="0.25">
      <c r="N474" s="1">
        <v>466</v>
      </c>
      <c r="O474" s="1" t="s">
        <v>2593</v>
      </c>
      <c r="P474" s="1">
        <v>2</v>
      </c>
      <c r="W474" s="136">
        <v>5229</v>
      </c>
    </row>
    <row r="475" spans="14:23" x14ac:dyDescent="0.25">
      <c r="N475" s="1">
        <v>467</v>
      </c>
      <c r="O475" s="1" t="s">
        <v>2594</v>
      </c>
      <c r="P475" s="1">
        <v>9</v>
      </c>
      <c r="W475" s="136">
        <v>5310</v>
      </c>
    </row>
    <row r="476" spans="14:23" x14ac:dyDescent="0.25">
      <c r="N476" s="1">
        <v>468</v>
      </c>
      <c r="O476" s="1" t="s">
        <v>2595</v>
      </c>
      <c r="P476" s="1">
        <v>18</v>
      </c>
      <c r="W476" s="136">
        <v>5320</v>
      </c>
    </row>
    <row r="477" spans="14:23" x14ac:dyDescent="0.25">
      <c r="N477" s="1">
        <v>469</v>
      </c>
      <c r="O477" s="1" t="s">
        <v>2596</v>
      </c>
      <c r="P477" s="1">
        <v>15</v>
      </c>
      <c r="W477" s="136">
        <v>5510</v>
      </c>
    </row>
    <row r="478" spans="14:23" x14ac:dyDescent="0.25">
      <c r="N478" s="1">
        <v>471</v>
      </c>
      <c r="O478" s="1" t="s">
        <v>2597</v>
      </c>
      <c r="P478" s="1">
        <v>14</v>
      </c>
      <c r="W478" s="136">
        <v>5520</v>
      </c>
    </row>
    <row r="479" spans="14:23" x14ac:dyDescent="0.25">
      <c r="N479" s="1">
        <v>472</v>
      </c>
      <c r="O479" s="1" t="s">
        <v>2598</v>
      </c>
      <c r="P479" s="1">
        <v>5</v>
      </c>
      <c r="W479" s="136">
        <v>5530</v>
      </c>
    </row>
    <row r="480" spans="14:23" x14ac:dyDescent="0.25">
      <c r="N480" s="1">
        <v>473</v>
      </c>
      <c r="O480" s="1" t="s">
        <v>2599</v>
      </c>
      <c r="P480" s="1">
        <v>5</v>
      </c>
      <c r="W480" s="136">
        <v>5590</v>
      </c>
    </row>
    <row r="481" spans="14:23" x14ac:dyDescent="0.25">
      <c r="N481" s="1">
        <v>474</v>
      </c>
      <c r="O481" s="1" t="s">
        <v>2600</v>
      </c>
      <c r="P481" s="1">
        <v>19</v>
      </c>
      <c r="W481" s="136">
        <v>5610</v>
      </c>
    </row>
    <row r="482" spans="14:23" x14ac:dyDescent="0.25">
      <c r="N482" s="1">
        <v>475</v>
      </c>
      <c r="O482" s="1" t="s">
        <v>2601</v>
      </c>
      <c r="P482" s="1">
        <v>11</v>
      </c>
      <c r="W482" s="136">
        <v>5621</v>
      </c>
    </row>
    <row r="483" spans="14:23" x14ac:dyDescent="0.25">
      <c r="N483" s="1">
        <v>476</v>
      </c>
      <c r="O483" s="1" t="s">
        <v>2602</v>
      </c>
      <c r="P483" s="1">
        <v>12</v>
      </c>
      <c r="W483" s="136">
        <v>5629</v>
      </c>
    </row>
    <row r="484" spans="14:23" x14ac:dyDescent="0.25">
      <c r="N484" s="1">
        <v>477</v>
      </c>
      <c r="O484" s="1" t="s">
        <v>2603</v>
      </c>
      <c r="P484" s="1">
        <v>3</v>
      </c>
      <c r="W484" s="136">
        <v>5630</v>
      </c>
    </row>
    <row r="485" spans="14:23" x14ac:dyDescent="0.25">
      <c r="N485" s="1">
        <v>478</v>
      </c>
      <c r="O485" s="1" t="s">
        <v>2604</v>
      </c>
      <c r="P485" s="1">
        <v>7</v>
      </c>
      <c r="W485" s="136">
        <v>5811</v>
      </c>
    </row>
    <row r="486" spans="14:23" x14ac:dyDescent="0.25">
      <c r="N486" s="1">
        <v>480</v>
      </c>
      <c r="O486" s="1" t="s">
        <v>2605</v>
      </c>
      <c r="P486" s="1">
        <v>7</v>
      </c>
      <c r="W486" s="136">
        <v>5812</v>
      </c>
    </row>
    <row r="487" spans="14:23" x14ac:dyDescent="0.25">
      <c r="N487" s="1">
        <v>481</v>
      </c>
      <c r="O487" s="1" t="s">
        <v>2606</v>
      </c>
      <c r="P487" s="1">
        <v>2</v>
      </c>
      <c r="W487" s="136">
        <v>5813</v>
      </c>
    </row>
    <row r="488" spans="14:23" x14ac:dyDescent="0.25">
      <c r="N488" s="1">
        <v>483</v>
      </c>
      <c r="O488" s="1" t="s">
        <v>2607</v>
      </c>
      <c r="P488" s="1">
        <v>7</v>
      </c>
      <c r="W488" s="136">
        <v>5814</v>
      </c>
    </row>
    <row r="489" spans="14:23" x14ac:dyDescent="0.25">
      <c r="N489" s="1">
        <v>484</v>
      </c>
      <c r="O489" s="1" t="s">
        <v>2608</v>
      </c>
      <c r="P489" s="1">
        <v>5</v>
      </c>
      <c r="W489" s="136">
        <v>5819</v>
      </c>
    </row>
    <row r="490" spans="14:23" x14ac:dyDescent="0.25">
      <c r="N490" s="1">
        <v>485</v>
      </c>
      <c r="O490" s="1" t="s">
        <v>2609</v>
      </c>
      <c r="P490" s="1">
        <v>14</v>
      </c>
      <c r="W490" s="136">
        <v>5821</v>
      </c>
    </row>
    <row r="491" spans="14:23" x14ac:dyDescent="0.25">
      <c r="N491" s="1">
        <v>486</v>
      </c>
      <c r="O491" s="1" t="s">
        <v>2610</v>
      </c>
      <c r="P491" s="1">
        <v>5</v>
      </c>
      <c r="W491" s="136">
        <v>5829</v>
      </c>
    </row>
    <row r="492" spans="14:23" x14ac:dyDescent="0.25">
      <c r="N492" s="1">
        <v>487</v>
      </c>
      <c r="O492" s="1" t="s">
        <v>2611</v>
      </c>
      <c r="P492" s="1">
        <v>16</v>
      </c>
      <c r="W492" s="136">
        <v>5911</v>
      </c>
    </row>
    <row r="493" spans="14:23" x14ac:dyDescent="0.25">
      <c r="N493" s="1">
        <v>488</v>
      </c>
      <c r="O493" s="1" t="s">
        <v>2612</v>
      </c>
      <c r="P493" s="1">
        <v>8</v>
      </c>
      <c r="W493" s="136">
        <v>5912</v>
      </c>
    </row>
    <row r="494" spans="14:23" x14ac:dyDescent="0.25">
      <c r="N494" s="1">
        <v>489</v>
      </c>
      <c r="O494" s="1" t="s">
        <v>2613</v>
      </c>
      <c r="P494" s="1">
        <v>13</v>
      </c>
      <c r="W494" s="136">
        <v>5913</v>
      </c>
    </row>
    <row r="495" spans="14:23" x14ac:dyDescent="0.25">
      <c r="N495" s="1">
        <v>490</v>
      </c>
      <c r="O495" s="1" t="s">
        <v>2614</v>
      </c>
      <c r="P495" s="1">
        <v>6</v>
      </c>
      <c r="W495" s="136">
        <v>5914</v>
      </c>
    </row>
    <row r="496" spans="14:23" x14ac:dyDescent="0.25">
      <c r="N496" s="1">
        <v>491</v>
      </c>
      <c r="O496" s="1" t="s">
        <v>2615</v>
      </c>
      <c r="P496" s="1">
        <v>10</v>
      </c>
      <c r="W496" s="136">
        <v>5920</v>
      </c>
    </row>
    <row r="497" spans="14:23" x14ac:dyDescent="0.25">
      <c r="N497" s="1">
        <v>492</v>
      </c>
      <c r="O497" s="1" t="s">
        <v>2616</v>
      </c>
      <c r="P497" s="1">
        <v>17</v>
      </c>
      <c r="W497" s="136">
        <v>6010</v>
      </c>
    </row>
    <row r="498" spans="14:23" x14ac:dyDescent="0.25">
      <c r="N498" s="1">
        <v>493</v>
      </c>
      <c r="O498" s="1" t="s">
        <v>2617</v>
      </c>
      <c r="P498" s="1">
        <v>5</v>
      </c>
      <c r="W498" s="136">
        <v>6020</v>
      </c>
    </row>
    <row r="499" spans="14:23" x14ac:dyDescent="0.25">
      <c r="N499" s="1">
        <v>494</v>
      </c>
      <c r="O499" s="1" t="s">
        <v>2618</v>
      </c>
      <c r="P499" s="1">
        <v>14</v>
      </c>
      <c r="W499" s="136">
        <v>6110</v>
      </c>
    </row>
    <row r="500" spans="14:23" x14ac:dyDescent="0.25">
      <c r="N500" s="1">
        <v>495</v>
      </c>
      <c r="O500" s="1" t="s">
        <v>2619</v>
      </c>
      <c r="P500" s="1">
        <v>8</v>
      </c>
      <c r="W500" s="136">
        <v>6120</v>
      </c>
    </row>
    <row r="501" spans="14:23" x14ac:dyDescent="0.25">
      <c r="N501" s="1">
        <v>497</v>
      </c>
      <c r="O501" s="1" t="s">
        <v>2620</v>
      </c>
      <c r="P501" s="1">
        <v>18</v>
      </c>
      <c r="W501" s="136">
        <v>6130</v>
      </c>
    </row>
    <row r="502" spans="14:23" x14ac:dyDescent="0.25">
      <c r="N502" s="1">
        <v>498</v>
      </c>
      <c r="O502" s="1" t="s">
        <v>2621</v>
      </c>
      <c r="P502" s="1">
        <v>18</v>
      </c>
      <c r="W502" s="136">
        <v>6190</v>
      </c>
    </row>
    <row r="503" spans="14:23" x14ac:dyDescent="0.25">
      <c r="N503" s="1">
        <v>499</v>
      </c>
      <c r="O503" s="1" t="s">
        <v>2622</v>
      </c>
      <c r="P503" s="1">
        <v>10</v>
      </c>
      <c r="W503" s="136">
        <v>6201</v>
      </c>
    </row>
    <row r="504" spans="14:23" x14ac:dyDescent="0.25">
      <c r="N504" s="1">
        <v>500</v>
      </c>
      <c r="O504" s="1" t="s">
        <v>2623</v>
      </c>
      <c r="P504" s="1">
        <v>15</v>
      </c>
      <c r="W504" s="136">
        <v>6202</v>
      </c>
    </row>
    <row r="505" spans="14:23" x14ac:dyDescent="0.25">
      <c r="N505" s="1">
        <v>502</v>
      </c>
      <c r="O505" s="1" t="s">
        <v>2624</v>
      </c>
      <c r="P505" s="1">
        <v>18</v>
      </c>
      <c r="W505" s="136">
        <v>6203</v>
      </c>
    </row>
    <row r="506" spans="14:23" x14ac:dyDescent="0.25">
      <c r="N506" s="1">
        <v>503</v>
      </c>
      <c r="O506" s="1" t="s">
        <v>2625</v>
      </c>
      <c r="P506" s="1">
        <v>4</v>
      </c>
      <c r="W506" s="136">
        <v>6209</v>
      </c>
    </row>
    <row r="507" spans="14:23" x14ac:dyDescent="0.25">
      <c r="N507" s="1">
        <v>504</v>
      </c>
      <c r="O507" s="1" t="s">
        <v>2626</v>
      </c>
      <c r="P507" s="1">
        <v>20</v>
      </c>
      <c r="W507" s="136">
        <v>6311</v>
      </c>
    </row>
    <row r="508" spans="14:23" x14ac:dyDescent="0.25">
      <c r="N508" s="1">
        <v>505</v>
      </c>
      <c r="O508" s="1" t="s">
        <v>2627</v>
      </c>
      <c r="P508" s="1">
        <v>16</v>
      </c>
      <c r="W508" s="136">
        <v>6312</v>
      </c>
    </row>
    <row r="509" spans="14:23" x14ac:dyDescent="0.25">
      <c r="N509" s="1">
        <v>506</v>
      </c>
      <c r="O509" s="1" t="s">
        <v>2628</v>
      </c>
      <c r="P509" s="1">
        <v>12</v>
      </c>
      <c r="W509" s="136">
        <v>6391</v>
      </c>
    </row>
    <row r="510" spans="14:23" x14ac:dyDescent="0.25">
      <c r="N510" s="1">
        <v>507</v>
      </c>
      <c r="O510" s="1" t="s">
        <v>2629</v>
      </c>
      <c r="P510" s="1">
        <v>8</v>
      </c>
      <c r="W510" s="136">
        <v>6399</v>
      </c>
    </row>
    <row r="511" spans="14:23" x14ac:dyDescent="0.25">
      <c r="N511" s="1">
        <v>508</v>
      </c>
      <c r="O511" s="1" t="s">
        <v>2630</v>
      </c>
      <c r="P511" s="1">
        <v>1</v>
      </c>
      <c r="W511" s="136">
        <v>6411</v>
      </c>
    </row>
    <row r="512" spans="14:23" x14ac:dyDescent="0.25">
      <c r="N512" s="1">
        <v>509</v>
      </c>
      <c r="O512" s="1" t="s">
        <v>2631</v>
      </c>
      <c r="P512" s="1">
        <v>8</v>
      </c>
      <c r="W512" s="136">
        <v>6419</v>
      </c>
    </row>
    <row r="513" spans="14:23" x14ac:dyDescent="0.25">
      <c r="N513" s="1">
        <v>510</v>
      </c>
      <c r="O513" s="1" t="s">
        <v>2632</v>
      </c>
      <c r="P513" s="1">
        <v>3</v>
      </c>
      <c r="W513" s="136">
        <v>6420</v>
      </c>
    </row>
    <row r="514" spans="14:23" x14ac:dyDescent="0.25">
      <c r="N514" s="1">
        <v>511</v>
      </c>
      <c r="O514" s="1" t="s">
        <v>2633</v>
      </c>
      <c r="P514" s="1">
        <v>17</v>
      </c>
      <c r="W514" s="136">
        <v>6430</v>
      </c>
    </row>
    <row r="515" spans="14:23" x14ac:dyDescent="0.25">
      <c r="N515" s="1">
        <v>512</v>
      </c>
      <c r="O515" s="1" t="s">
        <v>2634</v>
      </c>
      <c r="P515" s="1">
        <v>9</v>
      </c>
      <c r="W515" s="136">
        <v>6491</v>
      </c>
    </row>
    <row r="516" spans="14:23" x14ac:dyDescent="0.25">
      <c r="N516" s="1">
        <v>513</v>
      </c>
      <c r="O516" s="1" t="s">
        <v>2635</v>
      </c>
      <c r="P516" s="1">
        <v>17</v>
      </c>
      <c r="W516" s="136">
        <v>6492</v>
      </c>
    </row>
    <row r="517" spans="14:23" x14ac:dyDescent="0.25">
      <c r="N517" s="1">
        <v>514</v>
      </c>
      <c r="O517" s="1" t="s">
        <v>3269</v>
      </c>
      <c r="P517" s="1">
        <v>12</v>
      </c>
      <c r="W517" s="136">
        <v>6499</v>
      </c>
    </row>
    <row r="518" spans="14:23" x14ac:dyDescent="0.25">
      <c r="N518" s="1">
        <v>516</v>
      </c>
      <c r="O518" s="1" t="s">
        <v>3270</v>
      </c>
      <c r="P518" s="1">
        <v>18</v>
      </c>
      <c r="W518" s="136">
        <v>6511</v>
      </c>
    </row>
    <row r="519" spans="14:23" x14ac:dyDescent="0.25">
      <c r="N519" s="1">
        <v>517</v>
      </c>
      <c r="O519" s="1" t="s">
        <v>3271</v>
      </c>
      <c r="P519" s="1">
        <v>14</v>
      </c>
      <c r="W519" s="136">
        <v>6512</v>
      </c>
    </row>
    <row r="520" spans="14:23" x14ac:dyDescent="0.25">
      <c r="N520" s="1">
        <v>518</v>
      </c>
      <c r="O520" s="1" t="s">
        <v>3272</v>
      </c>
      <c r="P520" s="1">
        <v>16</v>
      </c>
      <c r="W520" s="136">
        <v>6520</v>
      </c>
    </row>
    <row r="521" spans="14:23" x14ac:dyDescent="0.25">
      <c r="N521" s="1">
        <v>519</v>
      </c>
      <c r="O521" s="1" t="s">
        <v>3273</v>
      </c>
      <c r="P521" s="1">
        <v>2</v>
      </c>
      <c r="W521" s="136">
        <v>6530</v>
      </c>
    </row>
    <row r="522" spans="14:23" x14ac:dyDescent="0.25">
      <c r="N522" s="1">
        <v>520</v>
      </c>
      <c r="O522" s="1" t="s">
        <v>3274</v>
      </c>
      <c r="P522" s="1">
        <v>13</v>
      </c>
      <c r="W522" s="136">
        <v>6611</v>
      </c>
    </row>
    <row r="523" spans="14:23" x14ac:dyDescent="0.25">
      <c r="N523" s="1">
        <v>521</v>
      </c>
      <c r="O523" s="1" t="s">
        <v>3275</v>
      </c>
      <c r="P523" s="1">
        <v>2</v>
      </c>
      <c r="W523" s="136">
        <v>6612</v>
      </c>
    </row>
    <row r="524" spans="14:23" x14ac:dyDescent="0.25">
      <c r="N524" s="1">
        <v>522</v>
      </c>
      <c r="O524" s="1" t="s">
        <v>3276</v>
      </c>
      <c r="P524" s="1">
        <v>17</v>
      </c>
      <c r="W524" s="136">
        <v>6619</v>
      </c>
    </row>
    <row r="525" spans="14:23" x14ac:dyDescent="0.25">
      <c r="N525" s="1">
        <v>523</v>
      </c>
      <c r="O525" s="1" t="s">
        <v>3277</v>
      </c>
      <c r="P525" s="1">
        <v>19</v>
      </c>
      <c r="W525" s="136">
        <v>6621</v>
      </c>
    </row>
    <row r="526" spans="14:23" x14ac:dyDescent="0.25">
      <c r="N526" s="1">
        <v>524</v>
      </c>
      <c r="O526" s="1" t="s">
        <v>3278</v>
      </c>
      <c r="P526" s="1">
        <v>10</v>
      </c>
      <c r="W526" s="136">
        <v>6622</v>
      </c>
    </row>
    <row r="527" spans="14:23" x14ac:dyDescent="0.25">
      <c r="N527" s="1">
        <v>525</v>
      </c>
      <c r="O527" s="1" t="s">
        <v>3279</v>
      </c>
      <c r="P527" s="1">
        <v>13</v>
      </c>
      <c r="W527" s="136">
        <v>6629</v>
      </c>
    </row>
    <row r="528" spans="14:23" x14ac:dyDescent="0.25">
      <c r="N528" s="1">
        <v>526</v>
      </c>
      <c r="O528" s="1" t="s">
        <v>3280</v>
      </c>
      <c r="P528" s="1">
        <v>2</v>
      </c>
      <c r="W528" s="136">
        <v>6630</v>
      </c>
    </row>
    <row r="529" spans="14:23" x14ac:dyDescent="0.25">
      <c r="N529" s="1">
        <v>527</v>
      </c>
      <c r="O529" s="1" t="s">
        <v>3281</v>
      </c>
      <c r="P529" s="1">
        <v>2</v>
      </c>
      <c r="W529" s="136">
        <v>6810</v>
      </c>
    </row>
    <row r="530" spans="14:23" x14ac:dyDescent="0.25">
      <c r="N530" s="1">
        <v>528</v>
      </c>
      <c r="O530" s="1" t="s">
        <v>3282</v>
      </c>
      <c r="P530" s="1">
        <v>17</v>
      </c>
      <c r="W530" s="136">
        <v>6820</v>
      </c>
    </row>
    <row r="531" spans="14:23" x14ac:dyDescent="0.25">
      <c r="N531" s="1">
        <v>530</v>
      </c>
      <c r="O531" s="1" t="s">
        <v>3283</v>
      </c>
      <c r="P531" s="1">
        <v>4</v>
      </c>
      <c r="W531" s="136">
        <v>6831</v>
      </c>
    </row>
    <row r="532" spans="14:23" x14ac:dyDescent="0.25">
      <c r="N532" s="1">
        <v>531</v>
      </c>
      <c r="O532" s="1" t="s">
        <v>3284</v>
      </c>
      <c r="P532" s="1">
        <v>18</v>
      </c>
      <c r="W532" s="136">
        <v>6832</v>
      </c>
    </row>
    <row r="533" spans="14:23" x14ac:dyDescent="0.25">
      <c r="N533" s="1">
        <v>533</v>
      </c>
      <c r="O533" s="1" t="s">
        <v>3285</v>
      </c>
      <c r="P533" s="1">
        <v>1</v>
      </c>
      <c r="W533" s="136">
        <v>6910</v>
      </c>
    </row>
    <row r="534" spans="14:23" x14ac:dyDescent="0.25">
      <c r="N534" s="1">
        <v>534</v>
      </c>
      <c r="O534" s="1" t="s">
        <v>3286</v>
      </c>
      <c r="P534" s="1">
        <v>16</v>
      </c>
      <c r="W534" s="136">
        <v>6920</v>
      </c>
    </row>
    <row r="535" spans="14:23" x14ac:dyDescent="0.25">
      <c r="N535" s="1">
        <v>535</v>
      </c>
      <c r="O535" s="1" t="s">
        <v>3287</v>
      </c>
      <c r="P535" s="1">
        <v>16</v>
      </c>
      <c r="W535" s="136">
        <v>7010</v>
      </c>
    </row>
    <row r="536" spans="14:23" x14ac:dyDescent="0.25">
      <c r="N536" s="1">
        <v>536</v>
      </c>
      <c r="O536" s="1" t="s">
        <v>658</v>
      </c>
      <c r="P536" s="1">
        <v>1</v>
      </c>
      <c r="W536" s="136">
        <v>7021</v>
      </c>
    </row>
    <row r="537" spans="14:23" x14ac:dyDescent="0.25">
      <c r="N537" s="1">
        <v>537</v>
      </c>
      <c r="O537" s="1" t="s">
        <v>1054</v>
      </c>
      <c r="P537" s="1">
        <v>13</v>
      </c>
      <c r="W537" s="136">
        <v>7022</v>
      </c>
    </row>
    <row r="538" spans="14:23" x14ac:dyDescent="0.25">
      <c r="N538" s="1">
        <v>538</v>
      </c>
      <c r="O538" s="1" t="s">
        <v>659</v>
      </c>
      <c r="P538" s="1">
        <v>8</v>
      </c>
      <c r="W538" s="136">
        <v>7111</v>
      </c>
    </row>
    <row r="539" spans="14:23" x14ac:dyDescent="0.25">
      <c r="N539" s="1">
        <v>539</v>
      </c>
      <c r="O539" s="1" t="s">
        <v>660</v>
      </c>
      <c r="P539" s="1">
        <v>1</v>
      </c>
      <c r="W539" s="136">
        <v>7112</v>
      </c>
    </row>
    <row r="540" spans="14:23" x14ac:dyDescent="0.25">
      <c r="N540" s="1">
        <v>540</v>
      </c>
      <c r="O540" s="1" t="s">
        <v>661</v>
      </c>
      <c r="P540" s="1">
        <v>1</v>
      </c>
      <c r="W540" s="136">
        <v>7120</v>
      </c>
    </row>
    <row r="541" spans="14:23" x14ac:dyDescent="0.25">
      <c r="N541" s="1">
        <v>541</v>
      </c>
      <c r="O541" s="1" t="s">
        <v>662</v>
      </c>
      <c r="P541" s="1">
        <v>1</v>
      </c>
      <c r="W541" s="136">
        <v>7211</v>
      </c>
    </row>
    <row r="542" spans="14:23" x14ac:dyDescent="0.25">
      <c r="N542" s="1">
        <v>542</v>
      </c>
      <c r="O542" s="1" t="s">
        <v>663</v>
      </c>
      <c r="P542" s="1">
        <v>1</v>
      </c>
      <c r="W542" s="136">
        <v>7219</v>
      </c>
    </row>
    <row r="543" spans="14:23" x14ac:dyDescent="0.25">
      <c r="N543" s="1">
        <v>543</v>
      </c>
      <c r="O543" s="1" t="s">
        <v>664</v>
      </c>
      <c r="P543" s="1">
        <v>1</v>
      </c>
      <c r="W543" s="136">
        <v>7220</v>
      </c>
    </row>
    <row r="544" spans="14:23" x14ac:dyDescent="0.25">
      <c r="N544" s="1">
        <v>544</v>
      </c>
      <c r="O544" s="1" t="s">
        <v>665</v>
      </c>
      <c r="P544" s="1">
        <v>1</v>
      </c>
      <c r="W544" s="136">
        <v>7311</v>
      </c>
    </row>
    <row r="545" spans="14:23" x14ac:dyDescent="0.25">
      <c r="N545" s="1">
        <v>545</v>
      </c>
      <c r="O545" s="1" t="s">
        <v>666</v>
      </c>
      <c r="P545" s="1">
        <v>1</v>
      </c>
      <c r="W545" s="136">
        <v>7312</v>
      </c>
    </row>
    <row r="546" spans="14:23" x14ac:dyDescent="0.25">
      <c r="N546" s="1">
        <v>547</v>
      </c>
      <c r="O546" s="1" t="s">
        <v>667</v>
      </c>
      <c r="P546" s="1">
        <v>1</v>
      </c>
      <c r="W546" s="136">
        <v>7320</v>
      </c>
    </row>
    <row r="547" spans="14:23" x14ac:dyDescent="0.25">
      <c r="N547" s="1">
        <v>548</v>
      </c>
      <c r="O547" s="1" t="s">
        <v>668</v>
      </c>
      <c r="P547" s="1">
        <v>1</v>
      </c>
      <c r="W547" s="136">
        <v>7410</v>
      </c>
    </row>
    <row r="548" spans="14:23" x14ac:dyDescent="0.25">
      <c r="N548" s="1">
        <v>549</v>
      </c>
      <c r="O548" s="1" t="s">
        <v>669</v>
      </c>
      <c r="P548" s="1">
        <v>1</v>
      </c>
      <c r="W548" s="136">
        <v>7420</v>
      </c>
    </row>
    <row r="549" spans="14:23" x14ac:dyDescent="0.25">
      <c r="N549" s="1">
        <v>550</v>
      </c>
      <c r="O549" s="1" t="s">
        <v>670</v>
      </c>
      <c r="P549" s="1">
        <v>1</v>
      </c>
      <c r="W549" s="136">
        <v>7430</v>
      </c>
    </row>
    <row r="550" spans="14:23" x14ac:dyDescent="0.25">
      <c r="N550" s="1">
        <v>551</v>
      </c>
      <c r="O550" s="1" t="s">
        <v>671</v>
      </c>
      <c r="P550" s="1">
        <v>1</v>
      </c>
      <c r="W550" s="136">
        <v>7490</v>
      </c>
    </row>
    <row r="551" spans="14:23" x14ac:dyDescent="0.25">
      <c r="N551" s="1">
        <v>552</v>
      </c>
      <c r="O551" s="1" t="s">
        <v>672</v>
      </c>
      <c r="P551" s="1">
        <v>2</v>
      </c>
      <c r="W551" s="136">
        <v>7500</v>
      </c>
    </row>
    <row r="552" spans="14:23" x14ac:dyDescent="0.25">
      <c r="N552" s="1">
        <v>553</v>
      </c>
      <c r="O552" s="1" t="s">
        <v>673</v>
      </c>
      <c r="P552" s="1">
        <v>2</v>
      </c>
      <c r="W552" s="136">
        <v>7711</v>
      </c>
    </row>
    <row r="553" spans="14:23" x14ac:dyDescent="0.25">
      <c r="N553" s="1">
        <v>554</v>
      </c>
      <c r="O553" s="1" t="s">
        <v>674</v>
      </c>
      <c r="P553" s="1">
        <v>2</v>
      </c>
      <c r="W553" s="136">
        <v>7712</v>
      </c>
    </row>
    <row r="554" spans="14:23" x14ac:dyDescent="0.25">
      <c r="N554" s="1">
        <v>555</v>
      </c>
      <c r="O554" s="1" t="s">
        <v>675</v>
      </c>
      <c r="P554" s="1">
        <v>3</v>
      </c>
      <c r="W554" s="136">
        <v>7721</v>
      </c>
    </row>
    <row r="555" spans="14:23" x14ac:dyDescent="0.25">
      <c r="N555" s="1">
        <v>556</v>
      </c>
      <c r="O555" s="1" t="s">
        <v>676</v>
      </c>
      <c r="P555" s="1">
        <v>4</v>
      </c>
      <c r="W555" s="136">
        <v>7722</v>
      </c>
    </row>
    <row r="556" spans="14:23" x14ac:dyDescent="0.25">
      <c r="N556" s="1">
        <v>557</v>
      </c>
      <c r="O556" s="1" t="s">
        <v>677</v>
      </c>
      <c r="P556" s="1">
        <v>4</v>
      </c>
      <c r="W556" s="136">
        <v>7729</v>
      </c>
    </row>
    <row r="557" spans="14:23" x14ac:dyDescent="0.25">
      <c r="N557" s="1">
        <v>558</v>
      </c>
      <c r="O557" s="1" t="s">
        <v>678</v>
      </c>
      <c r="P557" s="1">
        <v>5</v>
      </c>
      <c r="W557" s="136">
        <v>7731</v>
      </c>
    </row>
    <row r="558" spans="14:23" x14ac:dyDescent="0.25">
      <c r="N558" s="1">
        <v>559</v>
      </c>
      <c r="O558" s="1" t="s">
        <v>679</v>
      </c>
      <c r="P558" s="1">
        <v>6</v>
      </c>
      <c r="W558" s="136">
        <v>7732</v>
      </c>
    </row>
    <row r="559" spans="14:23" x14ac:dyDescent="0.25">
      <c r="N559" s="1">
        <v>560</v>
      </c>
      <c r="O559" s="1" t="s">
        <v>680</v>
      </c>
      <c r="P559" s="1">
        <v>6</v>
      </c>
      <c r="W559" s="136">
        <v>7733</v>
      </c>
    </row>
    <row r="560" spans="14:23" x14ac:dyDescent="0.25">
      <c r="N560" s="1">
        <v>561</v>
      </c>
      <c r="O560" s="1" t="s">
        <v>681</v>
      </c>
      <c r="P560" s="1">
        <v>6</v>
      </c>
      <c r="W560" s="136">
        <v>7734</v>
      </c>
    </row>
    <row r="561" spans="14:23" x14ac:dyDescent="0.25">
      <c r="N561" s="1">
        <v>562</v>
      </c>
      <c r="O561" s="1" t="s">
        <v>682</v>
      </c>
      <c r="P561" s="1">
        <v>7</v>
      </c>
      <c r="W561" s="136">
        <v>7735</v>
      </c>
    </row>
    <row r="562" spans="14:23" x14ac:dyDescent="0.25">
      <c r="N562" s="1">
        <v>564</v>
      </c>
      <c r="O562" s="1" t="s">
        <v>683</v>
      </c>
      <c r="P562" s="1">
        <v>7</v>
      </c>
      <c r="W562" s="136">
        <v>7739</v>
      </c>
    </row>
    <row r="563" spans="14:23" x14ac:dyDescent="0.25">
      <c r="N563" s="1">
        <v>565</v>
      </c>
      <c r="O563" s="1" t="s">
        <v>3382</v>
      </c>
      <c r="P563" s="1">
        <v>7</v>
      </c>
      <c r="W563" s="136">
        <v>7740</v>
      </c>
    </row>
    <row r="564" spans="14:23" x14ac:dyDescent="0.25">
      <c r="N564" s="1">
        <v>566</v>
      </c>
      <c r="O564" s="1" t="s">
        <v>2278</v>
      </c>
      <c r="P564" s="1">
        <v>7</v>
      </c>
      <c r="W564" s="136">
        <v>7810</v>
      </c>
    </row>
    <row r="565" spans="14:23" x14ac:dyDescent="0.25">
      <c r="N565" s="1">
        <v>567</v>
      </c>
      <c r="O565" s="1" t="s">
        <v>2279</v>
      </c>
      <c r="P565" s="1">
        <v>12</v>
      </c>
      <c r="W565" s="136">
        <v>7820</v>
      </c>
    </row>
    <row r="566" spans="14:23" x14ac:dyDescent="0.25">
      <c r="N566" s="1">
        <v>568</v>
      </c>
      <c r="O566" s="1" t="s">
        <v>2280</v>
      </c>
      <c r="P566" s="1">
        <v>12</v>
      </c>
      <c r="W566" s="136">
        <v>7830</v>
      </c>
    </row>
    <row r="567" spans="14:23" x14ac:dyDescent="0.25">
      <c r="N567" s="1">
        <v>569</v>
      </c>
      <c r="O567" s="1" t="s">
        <v>2281</v>
      </c>
      <c r="P567" s="1">
        <v>12</v>
      </c>
      <c r="W567" s="136">
        <v>7911</v>
      </c>
    </row>
    <row r="568" spans="14:23" x14ac:dyDescent="0.25">
      <c r="N568" s="1">
        <v>570</v>
      </c>
      <c r="O568" s="1" t="s">
        <v>2282</v>
      </c>
      <c r="P568" s="1">
        <v>12</v>
      </c>
      <c r="W568" s="136">
        <v>7912</v>
      </c>
    </row>
    <row r="569" spans="14:23" x14ac:dyDescent="0.25">
      <c r="N569" s="1">
        <v>571</v>
      </c>
      <c r="O569" s="1" t="s">
        <v>2283</v>
      </c>
      <c r="P569" s="1">
        <v>13</v>
      </c>
      <c r="W569" s="136">
        <v>7990</v>
      </c>
    </row>
    <row r="570" spans="14:23" x14ac:dyDescent="0.25">
      <c r="N570" s="1">
        <v>572</v>
      </c>
      <c r="O570" s="1" t="s">
        <v>2284</v>
      </c>
      <c r="P570" s="1">
        <v>13</v>
      </c>
      <c r="W570" s="136">
        <v>8010</v>
      </c>
    </row>
    <row r="571" spans="14:23" x14ac:dyDescent="0.25">
      <c r="N571" s="1">
        <v>573</v>
      </c>
      <c r="O571" s="1" t="s">
        <v>2285</v>
      </c>
      <c r="P571" s="1">
        <v>13</v>
      </c>
      <c r="W571" s="136">
        <v>8020</v>
      </c>
    </row>
    <row r="572" spans="14:23" x14ac:dyDescent="0.25">
      <c r="N572" s="1">
        <v>574</v>
      </c>
      <c r="O572" s="1" t="s">
        <v>2286</v>
      </c>
      <c r="P572" s="1">
        <v>13</v>
      </c>
      <c r="W572" s="136">
        <v>8030</v>
      </c>
    </row>
    <row r="573" spans="14:23" x14ac:dyDescent="0.25">
      <c r="N573" s="1">
        <v>575</v>
      </c>
      <c r="O573" s="1" t="s">
        <v>2287</v>
      </c>
      <c r="P573" s="1">
        <v>13</v>
      </c>
      <c r="W573" s="136">
        <v>8110</v>
      </c>
    </row>
    <row r="574" spans="14:23" x14ac:dyDescent="0.25">
      <c r="N574" s="1">
        <v>576</v>
      </c>
      <c r="O574" s="1" t="s">
        <v>2288</v>
      </c>
      <c r="P574" s="1">
        <v>14</v>
      </c>
      <c r="W574" s="136">
        <v>8121</v>
      </c>
    </row>
    <row r="575" spans="14:23" x14ac:dyDescent="0.25">
      <c r="N575" s="1">
        <v>578</v>
      </c>
      <c r="O575" s="1" t="s">
        <v>2289</v>
      </c>
      <c r="P575" s="1">
        <v>14</v>
      </c>
      <c r="W575" s="136">
        <v>8122</v>
      </c>
    </row>
    <row r="576" spans="14:23" x14ac:dyDescent="0.25">
      <c r="N576" s="1">
        <v>579</v>
      </c>
      <c r="O576" s="1" t="s">
        <v>2290</v>
      </c>
      <c r="P576" s="1">
        <v>14</v>
      </c>
      <c r="W576" s="136">
        <v>8129</v>
      </c>
    </row>
    <row r="577" spans="14:23" x14ac:dyDescent="0.25">
      <c r="N577" s="1">
        <v>581</v>
      </c>
      <c r="O577" s="1" t="s">
        <v>2291</v>
      </c>
      <c r="P577" s="1">
        <v>15</v>
      </c>
      <c r="W577" s="136">
        <v>8130</v>
      </c>
    </row>
    <row r="578" spans="14:23" x14ac:dyDescent="0.25">
      <c r="N578" s="1">
        <v>582</v>
      </c>
      <c r="O578" s="1" t="s">
        <v>2292</v>
      </c>
      <c r="P578" s="1">
        <v>15</v>
      </c>
      <c r="W578" s="136">
        <v>8211</v>
      </c>
    </row>
    <row r="579" spans="14:23" x14ac:dyDescent="0.25">
      <c r="N579" s="1">
        <v>583</v>
      </c>
      <c r="O579" s="1" t="s">
        <v>2286</v>
      </c>
      <c r="P579" s="1">
        <v>16</v>
      </c>
      <c r="W579" s="136">
        <v>8219</v>
      </c>
    </row>
    <row r="580" spans="14:23" x14ac:dyDescent="0.25">
      <c r="N580" s="1">
        <v>584</v>
      </c>
      <c r="O580" s="1" t="s">
        <v>2293</v>
      </c>
      <c r="P580" s="1">
        <v>16</v>
      </c>
      <c r="W580" s="136">
        <v>8220</v>
      </c>
    </row>
    <row r="581" spans="14:23" x14ac:dyDescent="0.25">
      <c r="N581" s="1">
        <v>585</v>
      </c>
      <c r="O581" s="1" t="s">
        <v>2294</v>
      </c>
      <c r="P581" s="1">
        <v>17</v>
      </c>
      <c r="W581" s="136">
        <v>8230</v>
      </c>
    </row>
    <row r="582" spans="14:23" x14ac:dyDescent="0.25">
      <c r="N582" s="1">
        <v>586</v>
      </c>
      <c r="O582" s="1" t="s">
        <v>2295</v>
      </c>
      <c r="P582" s="1">
        <v>17</v>
      </c>
      <c r="W582" s="136">
        <v>8291</v>
      </c>
    </row>
    <row r="583" spans="14:23" x14ac:dyDescent="0.25">
      <c r="N583" s="1">
        <v>587</v>
      </c>
      <c r="O583" s="1" t="s">
        <v>2296</v>
      </c>
      <c r="P583" s="1">
        <v>17</v>
      </c>
      <c r="W583" s="136">
        <v>8292</v>
      </c>
    </row>
    <row r="584" spans="14:23" x14ac:dyDescent="0.25">
      <c r="N584" s="1">
        <v>588</v>
      </c>
      <c r="O584" s="1" t="s">
        <v>2297</v>
      </c>
      <c r="P584" s="1">
        <v>17</v>
      </c>
      <c r="W584" s="136">
        <v>8299</v>
      </c>
    </row>
    <row r="585" spans="14:23" x14ac:dyDescent="0.25">
      <c r="N585" s="1">
        <v>589</v>
      </c>
      <c r="O585" s="1" t="s">
        <v>2298</v>
      </c>
      <c r="P585" s="1">
        <v>17</v>
      </c>
      <c r="W585" s="136">
        <v>8411</v>
      </c>
    </row>
    <row r="586" spans="14:23" x14ac:dyDescent="0.25">
      <c r="N586" s="1">
        <v>590</v>
      </c>
      <c r="O586" s="1" t="s">
        <v>2299</v>
      </c>
      <c r="P586" s="1">
        <v>17</v>
      </c>
      <c r="W586" s="136">
        <v>8412</v>
      </c>
    </row>
    <row r="587" spans="14:23" x14ac:dyDescent="0.25">
      <c r="N587" s="1">
        <v>591</v>
      </c>
      <c r="O587" s="1" t="s">
        <v>2300</v>
      </c>
      <c r="P587" s="1">
        <v>17</v>
      </c>
      <c r="W587" s="136">
        <v>8413</v>
      </c>
    </row>
    <row r="588" spans="14:23" x14ac:dyDescent="0.25">
      <c r="N588" s="1">
        <v>592</v>
      </c>
      <c r="O588" s="1" t="s">
        <v>2301</v>
      </c>
      <c r="P588" s="1">
        <v>17</v>
      </c>
      <c r="W588" s="136">
        <v>8421</v>
      </c>
    </row>
    <row r="589" spans="14:23" x14ac:dyDescent="0.25">
      <c r="N589" s="1">
        <v>593</v>
      </c>
      <c r="O589" s="1" t="s">
        <v>2302</v>
      </c>
      <c r="P589" s="1">
        <v>17</v>
      </c>
      <c r="W589" s="136">
        <v>8422</v>
      </c>
    </row>
    <row r="590" spans="14:23" x14ac:dyDescent="0.25">
      <c r="N590" s="1">
        <v>595</v>
      </c>
      <c r="O590" s="1" t="s">
        <v>2303</v>
      </c>
      <c r="P590" s="1">
        <v>17</v>
      </c>
      <c r="W590" s="136">
        <v>8423</v>
      </c>
    </row>
    <row r="591" spans="14:23" x14ac:dyDescent="0.25">
      <c r="N591" s="1">
        <v>596</v>
      </c>
      <c r="O591" s="1" t="s">
        <v>2304</v>
      </c>
      <c r="P591" s="1">
        <v>18</v>
      </c>
      <c r="W591" s="136">
        <v>8424</v>
      </c>
    </row>
    <row r="592" spans="14:23" x14ac:dyDescent="0.25">
      <c r="N592" s="1">
        <v>597</v>
      </c>
      <c r="O592" s="1" t="s">
        <v>2305</v>
      </c>
      <c r="P592" s="1">
        <v>18</v>
      </c>
      <c r="W592" s="136">
        <v>8425</v>
      </c>
    </row>
    <row r="593" spans="14:23" x14ac:dyDescent="0.25">
      <c r="N593" s="1">
        <v>598</v>
      </c>
      <c r="O593" s="1" t="s">
        <v>2306</v>
      </c>
      <c r="P593" s="1">
        <v>19</v>
      </c>
      <c r="W593" s="136">
        <v>8430</v>
      </c>
    </row>
    <row r="594" spans="14:23" x14ac:dyDescent="0.25">
      <c r="N594" s="1">
        <v>599</v>
      </c>
      <c r="O594" s="1" t="s">
        <v>2307</v>
      </c>
      <c r="P594" s="1">
        <v>19</v>
      </c>
      <c r="W594" s="136">
        <v>8510</v>
      </c>
    </row>
    <row r="595" spans="14:23" x14ac:dyDescent="0.25">
      <c r="N595" s="1">
        <v>600</v>
      </c>
      <c r="O595" s="1" t="s">
        <v>2308</v>
      </c>
      <c r="P595" s="1">
        <v>19</v>
      </c>
      <c r="W595" s="136">
        <v>8520</v>
      </c>
    </row>
    <row r="596" spans="14:23" x14ac:dyDescent="0.25">
      <c r="N596" s="1">
        <v>601</v>
      </c>
      <c r="O596" s="1" t="s">
        <v>2309</v>
      </c>
      <c r="P596" s="1">
        <v>19</v>
      </c>
      <c r="W596" s="136">
        <v>8531</v>
      </c>
    </row>
    <row r="597" spans="14:23" x14ac:dyDescent="0.25">
      <c r="N597" s="1">
        <v>602</v>
      </c>
      <c r="O597" s="1" t="s">
        <v>2310</v>
      </c>
      <c r="P597" s="1">
        <v>19</v>
      </c>
      <c r="W597" s="136">
        <v>8532</v>
      </c>
    </row>
    <row r="598" spans="14:23" x14ac:dyDescent="0.25">
      <c r="N598" s="1">
        <v>603</v>
      </c>
      <c r="O598" s="1" t="s">
        <v>2311</v>
      </c>
      <c r="P598" s="1">
        <v>20</v>
      </c>
      <c r="W598" s="136">
        <v>8541</v>
      </c>
    </row>
    <row r="599" spans="14:23" x14ac:dyDescent="0.25">
      <c r="N599" s="1">
        <v>604</v>
      </c>
      <c r="O599" s="1" t="s">
        <v>4429</v>
      </c>
      <c r="P599" s="1">
        <v>20</v>
      </c>
      <c r="W599" s="136">
        <v>8542</v>
      </c>
    </row>
    <row r="600" spans="14:23" x14ac:dyDescent="0.25">
      <c r="N600" s="1">
        <v>605</v>
      </c>
      <c r="O600" s="1" t="s">
        <v>4430</v>
      </c>
      <c r="P600" s="1">
        <v>20</v>
      </c>
      <c r="W600" s="136">
        <v>8551</v>
      </c>
    </row>
    <row r="601" spans="14:23" x14ac:dyDescent="0.25">
      <c r="N601" s="1">
        <v>606</v>
      </c>
      <c r="O601" s="1" t="s">
        <v>4431</v>
      </c>
      <c r="P601" s="1">
        <v>20</v>
      </c>
      <c r="W601" s="136">
        <v>8552</v>
      </c>
    </row>
    <row r="602" spans="14:23" x14ac:dyDescent="0.25">
      <c r="N602" s="1">
        <v>607</v>
      </c>
      <c r="O602" s="1" t="s">
        <v>4432</v>
      </c>
      <c r="P602" s="1">
        <v>20</v>
      </c>
      <c r="W602" s="136">
        <v>8553</v>
      </c>
    </row>
    <row r="603" spans="14:23" x14ac:dyDescent="0.25">
      <c r="N603" s="1">
        <v>608</v>
      </c>
      <c r="O603" s="1" t="s">
        <v>4433</v>
      </c>
      <c r="P603" s="1">
        <v>20</v>
      </c>
      <c r="W603" s="136">
        <v>8559</v>
      </c>
    </row>
    <row r="604" spans="14:23" x14ac:dyDescent="0.25">
      <c r="N604" s="1">
        <v>609</v>
      </c>
      <c r="O604" s="1" t="s">
        <v>4434</v>
      </c>
      <c r="P604" s="1">
        <v>14</v>
      </c>
      <c r="W604" s="136">
        <v>8560</v>
      </c>
    </row>
    <row r="605" spans="14:23" x14ac:dyDescent="0.25">
      <c r="N605" s="1">
        <v>610</v>
      </c>
      <c r="O605" s="1" t="s">
        <v>4435</v>
      </c>
      <c r="P605" s="1">
        <v>16</v>
      </c>
      <c r="W605" s="136">
        <v>8610</v>
      </c>
    </row>
    <row r="606" spans="14:23" x14ac:dyDescent="0.25">
      <c r="N606" s="1">
        <v>612</v>
      </c>
      <c r="O606" s="1" t="s">
        <v>4436</v>
      </c>
      <c r="P606" s="1">
        <v>16</v>
      </c>
      <c r="W606" s="136">
        <v>8621</v>
      </c>
    </row>
    <row r="607" spans="14:23" x14ac:dyDescent="0.25">
      <c r="N607" s="1">
        <v>614</v>
      </c>
      <c r="O607" s="1" t="s">
        <v>4437</v>
      </c>
      <c r="P607" s="1">
        <v>14</v>
      </c>
      <c r="W607" s="136">
        <v>8622</v>
      </c>
    </row>
    <row r="608" spans="14:23" x14ac:dyDescent="0.25">
      <c r="N608" s="1">
        <v>616</v>
      </c>
      <c r="O608" s="1" t="s">
        <v>4438</v>
      </c>
      <c r="P608" s="1">
        <v>6</v>
      </c>
      <c r="W608" s="136">
        <v>8623</v>
      </c>
    </row>
    <row r="609" spans="14:23" x14ac:dyDescent="0.25">
      <c r="N609" s="1">
        <v>617</v>
      </c>
      <c r="O609" s="1" t="s">
        <v>4439</v>
      </c>
      <c r="P609" s="1">
        <v>15</v>
      </c>
      <c r="W609" s="136">
        <v>8690</v>
      </c>
    </row>
    <row r="610" spans="14:23" x14ac:dyDescent="0.25">
      <c r="N610" s="1">
        <v>618</v>
      </c>
      <c r="O610" s="1" t="s">
        <v>4440</v>
      </c>
      <c r="P610" s="1">
        <v>6</v>
      </c>
      <c r="W610" s="136">
        <v>8710</v>
      </c>
    </row>
    <row r="611" spans="14:23" x14ac:dyDescent="0.25">
      <c r="N611" s="1">
        <v>619</v>
      </c>
      <c r="O611" s="1" t="s">
        <v>4441</v>
      </c>
      <c r="P611" s="1">
        <v>18</v>
      </c>
      <c r="W611" s="136">
        <v>8720</v>
      </c>
    </row>
    <row r="612" spans="14:23" x14ac:dyDescent="0.25">
      <c r="N612" s="1">
        <v>620</v>
      </c>
      <c r="O612" s="1" t="s">
        <v>4442</v>
      </c>
      <c r="P612" s="1">
        <v>20</v>
      </c>
      <c r="W612" s="136">
        <v>8730</v>
      </c>
    </row>
    <row r="613" spans="14:23" x14ac:dyDescent="0.25">
      <c r="N613" s="1">
        <v>621</v>
      </c>
      <c r="O613" s="1" t="s">
        <v>4443</v>
      </c>
      <c r="P613" s="1">
        <v>15</v>
      </c>
      <c r="W613" s="136">
        <v>8790</v>
      </c>
    </row>
    <row r="614" spans="14:23" x14ac:dyDescent="0.25">
      <c r="N614" s="1">
        <v>622</v>
      </c>
      <c r="O614" s="1" t="s">
        <v>4444</v>
      </c>
      <c r="P614" s="1">
        <v>13</v>
      </c>
      <c r="W614" s="136">
        <v>8810</v>
      </c>
    </row>
    <row r="615" spans="14:23" x14ac:dyDescent="0.25">
      <c r="N615" s="1">
        <v>623</v>
      </c>
      <c r="O615" s="1" t="s">
        <v>4445</v>
      </c>
      <c r="P615" s="1">
        <v>4</v>
      </c>
      <c r="W615" s="136">
        <v>8891</v>
      </c>
    </row>
    <row r="616" spans="14:23" x14ac:dyDescent="0.25">
      <c r="N616" s="1">
        <v>624</v>
      </c>
      <c r="O616" s="1" t="s">
        <v>4446</v>
      </c>
      <c r="P616" s="1">
        <v>8</v>
      </c>
      <c r="W616" s="136">
        <v>8899</v>
      </c>
    </row>
    <row r="617" spans="14:23" x14ac:dyDescent="0.25">
      <c r="N617" s="1">
        <v>625</v>
      </c>
      <c r="O617" s="1" t="s">
        <v>4447</v>
      </c>
      <c r="P617" s="1">
        <v>13</v>
      </c>
      <c r="W617" s="136">
        <v>9001</v>
      </c>
    </row>
    <row r="618" spans="14:23" x14ac:dyDescent="0.25">
      <c r="N618" s="1">
        <v>626</v>
      </c>
      <c r="O618" s="1" t="s">
        <v>4448</v>
      </c>
      <c r="P618" s="1">
        <v>15</v>
      </c>
      <c r="W618" s="136">
        <v>9002</v>
      </c>
    </row>
    <row r="619" spans="14:23" x14ac:dyDescent="0.25">
      <c r="N619" s="1">
        <v>628</v>
      </c>
      <c r="O619" s="1" t="s">
        <v>4449</v>
      </c>
      <c r="P619" s="1">
        <v>16</v>
      </c>
      <c r="W619" s="136">
        <v>9003</v>
      </c>
    </row>
    <row r="620" spans="14:23" x14ac:dyDescent="0.25">
      <c r="N620" s="1">
        <v>629</v>
      </c>
      <c r="O620" s="1" t="s">
        <v>4450</v>
      </c>
      <c r="P620" s="1">
        <v>18</v>
      </c>
      <c r="W620" s="136">
        <v>9004</v>
      </c>
    </row>
    <row r="621" spans="14:23" x14ac:dyDescent="0.25">
      <c r="N621" s="1">
        <v>631</v>
      </c>
      <c r="O621" s="1" t="s">
        <v>4451</v>
      </c>
      <c r="P621" s="1">
        <v>18</v>
      </c>
      <c r="W621" s="136">
        <v>9101</v>
      </c>
    </row>
    <row r="622" spans="14:23" x14ac:dyDescent="0.25">
      <c r="N622" s="1">
        <v>710</v>
      </c>
      <c r="O622" s="1" t="s">
        <v>4452</v>
      </c>
      <c r="P622" s="1">
        <v>1</v>
      </c>
      <c r="W622" s="136">
        <v>9102</v>
      </c>
    </row>
    <row r="623" spans="14:23" x14ac:dyDescent="0.25">
      <c r="W623" s="136">
        <v>9103</v>
      </c>
    </row>
    <row r="624" spans="14:23" x14ac:dyDescent="0.25">
      <c r="W624" s="136">
        <v>9104</v>
      </c>
    </row>
    <row r="625" spans="23:23" x14ac:dyDescent="0.25">
      <c r="W625" s="136">
        <v>9200</v>
      </c>
    </row>
    <row r="626" spans="23:23" x14ac:dyDescent="0.25">
      <c r="W626" s="136">
        <v>9311</v>
      </c>
    </row>
    <row r="627" spans="23:23" x14ac:dyDescent="0.25">
      <c r="W627" s="136">
        <v>9312</v>
      </c>
    </row>
    <row r="628" spans="23:23" x14ac:dyDescent="0.25">
      <c r="W628" s="136">
        <v>9313</v>
      </c>
    </row>
    <row r="629" spans="23:23" x14ac:dyDescent="0.25">
      <c r="W629" s="136">
        <v>9319</v>
      </c>
    </row>
    <row r="630" spans="23:23" x14ac:dyDescent="0.25">
      <c r="W630" s="136">
        <v>9321</v>
      </c>
    </row>
    <row r="631" spans="23:23" x14ac:dyDescent="0.25">
      <c r="W631" s="136">
        <v>9329</v>
      </c>
    </row>
    <row r="632" spans="23:23" x14ac:dyDescent="0.25">
      <c r="W632" s="136">
        <v>9411</v>
      </c>
    </row>
    <row r="633" spans="23:23" x14ac:dyDescent="0.25">
      <c r="W633" s="136">
        <v>9412</v>
      </c>
    </row>
    <row r="634" spans="23:23" x14ac:dyDescent="0.25">
      <c r="W634" s="136">
        <v>9420</v>
      </c>
    </row>
    <row r="635" spans="23:23" x14ac:dyDescent="0.25">
      <c r="W635" s="136">
        <v>9491</v>
      </c>
    </row>
    <row r="636" spans="23:23" x14ac:dyDescent="0.25">
      <c r="W636" s="136">
        <v>9492</v>
      </c>
    </row>
    <row r="637" spans="23:23" x14ac:dyDescent="0.25">
      <c r="W637" s="136">
        <v>9499</v>
      </c>
    </row>
    <row r="638" spans="23:23" x14ac:dyDescent="0.25">
      <c r="W638" s="136">
        <v>9511</v>
      </c>
    </row>
    <row r="639" spans="23:23" x14ac:dyDescent="0.25">
      <c r="W639" s="136">
        <v>9512</v>
      </c>
    </row>
    <row r="640" spans="23:23" x14ac:dyDescent="0.25">
      <c r="W640" s="136">
        <v>9521</v>
      </c>
    </row>
    <row r="641" spans="23:23" x14ac:dyDescent="0.25">
      <c r="W641" s="136">
        <v>9522</v>
      </c>
    </row>
    <row r="642" spans="23:23" x14ac:dyDescent="0.25">
      <c r="W642" s="136">
        <v>9523</v>
      </c>
    </row>
    <row r="643" spans="23:23" x14ac:dyDescent="0.25">
      <c r="W643" s="136">
        <v>9524</v>
      </c>
    </row>
    <row r="644" spans="23:23" x14ac:dyDescent="0.25">
      <c r="W644" s="136">
        <v>9525</v>
      </c>
    </row>
    <row r="645" spans="23:23" x14ac:dyDescent="0.25">
      <c r="W645" s="136">
        <v>9529</v>
      </c>
    </row>
    <row r="646" spans="23:23" x14ac:dyDescent="0.25">
      <c r="W646" s="136">
        <v>9601</v>
      </c>
    </row>
    <row r="647" spans="23:23" x14ac:dyDescent="0.25">
      <c r="W647" s="136">
        <v>9602</v>
      </c>
    </row>
    <row r="648" spans="23:23" x14ac:dyDescent="0.25">
      <c r="W648" s="136">
        <v>9603</v>
      </c>
    </row>
    <row r="649" spans="23:23" x14ac:dyDescent="0.25">
      <c r="W649" s="136">
        <v>9604</v>
      </c>
    </row>
    <row r="650" spans="23:23" x14ac:dyDescent="0.25">
      <c r="W650" s="136">
        <v>9609</v>
      </c>
    </row>
    <row r="651" spans="23:23" x14ac:dyDescent="0.25">
      <c r="W651" s="136">
        <v>9700</v>
      </c>
    </row>
    <row r="652" spans="23:23" x14ac:dyDescent="0.25">
      <c r="W652" s="136">
        <v>9810</v>
      </c>
    </row>
    <row r="653" spans="23:23" x14ac:dyDescent="0.25">
      <c r="W653" s="136">
        <v>9820</v>
      </c>
    </row>
    <row r="654" spans="23:23" x14ac:dyDescent="0.25">
      <c r="W654" s="136">
        <v>9900</v>
      </c>
    </row>
  </sheetData>
  <sheetProtection password="C79A" sheet="1" objects="1" scenarios="1"/>
  <mergeCells count="73">
    <mergeCell ref="C18:K18"/>
    <mergeCell ref="C20:K20"/>
    <mergeCell ref="C22:K22"/>
    <mergeCell ref="A1:B1"/>
    <mergeCell ref="C16:K16"/>
    <mergeCell ref="J1:K1"/>
    <mergeCell ref="G1:I1"/>
    <mergeCell ref="E1:F1"/>
    <mergeCell ref="C1:D1"/>
    <mergeCell ref="B14:G14"/>
    <mergeCell ref="J2:K2"/>
    <mergeCell ref="A4:K4"/>
    <mergeCell ref="C12:G12"/>
    <mergeCell ref="D6:E6"/>
    <mergeCell ref="A5:K5"/>
    <mergeCell ref="J6:K6"/>
    <mergeCell ref="B64:H64"/>
    <mergeCell ref="A61:A64"/>
    <mergeCell ref="A65:A68"/>
    <mergeCell ref="B67:H67"/>
    <mergeCell ref="A25:A37"/>
    <mergeCell ref="C27:D27"/>
    <mergeCell ref="C37:D37"/>
    <mergeCell ref="H33:K33"/>
    <mergeCell ref="H29:K29"/>
    <mergeCell ref="H31:K31"/>
    <mergeCell ref="B60:H60"/>
    <mergeCell ref="B61:H61"/>
    <mergeCell ref="B63:H63"/>
    <mergeCell ref="A40:A43"/>
    <mergeCell ref="A44:A47"/>
    <mergeCell ref="A48:A52"/>
    <mergeCell ref="A72:D72"/>
    <mergeCell ref="H72:K72"/>
    <mergeCell ref="B54:H54"/>
    <mergeCell ref="B49:H49"/>
    <mergeCell ref="B45:H45"/>
    <mergeCell ref="B46:H46"/>
    <mergeCell ref="B62:H62"/>
    <mergeCell ref="J70:K70"/>
    <mergeCell ref="B65:H65"/>
    <mergeCell ref="B66:H66"/>
    <mergeCell ref="B59:H59"/>
    <mergeCell ref="B53:H53"/>
    <mergeCell ref="B57:H57"/>
    <mergeCell ref="B47:H47"/>
    <mergeCell ref="B52:H52"/>
    <mergeCell ref="B68:H68"/>
    <mergeCell ref="J8:K8"/>
    <mergeCell ref="B10:I10"/>
    <mergeCell ref="B50:H50"/>
    <mergeCell ref="B44:H44"/>
    <mergeCell ref="B51:H51"/>
    <mergeCell ref="B41:H41"/>
    <mergeCell ref="B39:H39"/>
    <mergeCell ref="D24:F24"/>
    <mergeCell ref="H37:K37"/>
    <mergeCell ref="H25:K25"/>
    <mergeCell ref="C25:D25"/>
    <mergeCell ref="C33:D33"/>
    <mergeCell ref="C35:D35"/>
    <mergeCell ref="C29:D29"/>
    <mergeCell ref="C31:D31"/>
    <mergeCell ref="H27:I27"/>
    <mergeCell ref="A53:A56"/>
    <mergeCell ref="B40:H40"/>
    <mergeCell ref="A57:A60"/>
    <mergeCell ref="B58:H58"/>
    <mergeCell ref="B55:H55"/>
    <mergeCell ref="B56:H56"/>
    <mergeCell ref="B48:H48"/>
    <mergeCell ref="B42:H42"/>
    <mergeCell ref="B43:H43"/>
  </mergeCells>
  <phoneticPr fontId="10" type="noConversion"/>
  <conditionalFormatting sqref="H37:K37">
    <cfRule type="cellIs" dxfId="13" priority="1" stopIfTrue="1" operator="equal">
      <formula>"Sve osnovne kontrole su zadovoljene"</formula>
    </cfRule>
  </conditionalFormatting>
  <dataValidations count="12">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list" showInputMessage="1" showErrorMessage="1" sqref="B31">
      <formula1>"DA,NE"</formula1>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$N$66:$N$622</formula1>
    </dataValidation>
    <dataValidation type="list" allowBlank="1" showInputMessage="1" showErrorMessage="1" sqref="B18">
      <formula1>$W$39:$W$654</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F6">
      <formula1>$N$41:$N$64</formula1>
    </dataValidation>
    <dataValidation type="list" allowBlank="1" showInputMessage="1" showErrorMessage="1" sqref="B20">
      <formula1>$R$66:$R$116</formula1>
    </dataValidation>
  </dataValidations>
  <hyperlinks>
    <hyperlink ref="C25:D25" location="PRRAS!B4" tooltip=" Radni list za popunjavanje Obrasca PR-RAS" display="PR-RAS (VP 151)"/>
    <hyperlink ref="C27:D27" location="NT!B4" tooltip=" Radni list za popunjavanje Obrasca NT" display="NT (VP 153)"/>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29:D29" location="RasF!B4" tooltip="Obrazac RAS-funkcijski" display="RAS funkcijski (VP 154)"/>
    <hyperlink ref="C31:D31" location="PVRIO!B4" tooltip="Obrazac P-VRIO" display="P-VRIO (VP 156)"/>
    <hyperlink ref="C33:D33" location="Bil!B4" tooltip="Obrazac Bilanca" display="Bilanca (VP 158)"/>
    <hyperlink ref="C35:D35" location="Obv!B4" tooltip="Obrazac Obveze" display="Obveze (VP 159 i 160)"/>
    <hyperlink ref="C37:D37" location="SPRRAS!B4" tooltip="Obrazac S-PR-RAS" display="S-PR-RAS (VP 161)"/>
  </hyperlinks>
  <printOptions horizontalCentered="1"/>
  <pageMargins left="0.39370078740157483" right="0.39370078740157483" top="0.59055118110236227" bottom="0.78740157480314965" header="0.55118110236220474" footer="0.59055118110236227"/>
  <pageSetup paperSize="9" scale="7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T917"/>
  <sheetViews>
    <sheetView showGridLines="0" showRowColHeaders="0" workbookViewId="0">
      <selection activeCell="C1" sqref="C1:F1"/>
    </sheetView>
  </sheetViews>
  <sheetFormatPr defaultColWidth="0" defaultRowHeight="11.4" zeroHeight="1" x14ac:dyDescent="0.25"/>
  <cols>
    <col min="1" max="1" width="7.6640625" style="14" customWidth="1"/>
    <col min="2" max="2" width="70.6640625" style="14" customWidth="1"/>
    <col min="3" max="3" width="4.33203125" style="14" customWidth="1"/>
    <col min="4" max="5" width="15.6640625" style="14" customWidth="1"/>
    <col min="6" max="6" width="6.88671875" style="14" customWidth="1"/>
    <col min="7" max="7" width="0.88671875" style="18" customWidth="1"/>
    <col min="8" max="254" width="9.109375" style="13" hidden="1" customWidth="1"/>
    <col min="255" max="16384" width="0" style="13" hidden="1"/>
  </cols>
  <sheetData>
    <row r="1" spans="1:7" s="1" customFormat="1" ht="20.100000000000001" customHeight="1" thickBot="1" x14ac:dyDescent="0.3">
      <c r="A1" s="538" t="s">
        <v>4155</v>
      </c>
      <c r="B1" s="539"/>
      <c r="C1" s="542" t="s">
        <v>2749</v>
      </c>
      <c r="D1" s="543"/>
      <c r="E1" s="543"/>
      <c r="F1" s="543"/>
    </row>
    <row r="2" spans="1:7" s="4" customFormat="1" ht="39.9" customHeight="1" thickBot="1" x14ac:dyDescent="0.3">
      <c r="A2" s="544" t="s">
        <v>4064</v>
      </c>
      <c r="B2" s="545"/>
      <c r="C2" s="545"/>
      <c r="D2" s="546"/>
      <c r="E2" s="540" t="s">
        <v>3710</v>
      </c>
      <c r="F2" s="541"/>
    </row>
    <row r="3" spans="1:7" s="3" customFormat="1" ht="30" customHeight="1" x14ac:dyDescent="0.25">
      <c r="A3" s="547" t="str">
        <f>IF(RefStr!F6&lt;&gt;"",LOOKUP(RefStr!F6,RefStr!N40:N64,RefStr!Q40:Q64)," - razdoblje izvještavanja nije odabrano - ")</f>
        <v>za razdoblje 1. siječnja do 31. prosinca 2014. godine</v>
      </c>
      <c r="B3" s="545"/>
      <c r="C3" s="545"/>
      <c r="D3" s="545"/>
      <c r="E3" s="165"/>
      <c r="F3" s="165"/>
    </row>
    <row r="4" spans="1:7" s="4" customFormat="1" ht="15" customHeight="1" x14ac:dyDescent="0.25">
      <c r="A4" s="98" t="s">
        <v>3293</v>
      </c>
      <c r="B4" s="528" t="str">
        <f xml:space="preserve"> "RKP: " &amp; TEXT(INT(VALUE(RefStr!B6)),"00000") &amp; ",  " &amp; "MB: " &amp; TEXT(INT(VALUE(RefStr!B8)), "00000000") &amp; "  " &amp; RefStr!B10</f>
        <v>RKP: 281186,  MB: 02745658  OPĆINA SOKOLOVAC</v>
      </c>
      <c r="C4" s="529"/>
      <c r="D4" s="529"/>
      <c r="E4" s="529"/>
      <c r="F4" s="529"/>
    </row>
    <row r="5" spans="1:7" s="4" customFormat="1" ht="15" customHeight="1" x14ac:dyDescent="0.25">
      <c r="A5" s="62"/>
      <c r="B5" s="528" t="str">
        <f>RefStr!B12 &amp; " " &amp; RefStr!C12 &amp; ", " &amp; RefStr!B14</f>
        <v>48306 Sokolovac, Trg dr. Bardeka 8</v>
      </c>
      <c r="C5" s="529"/>
      <c r="D5" s="529"/>
      <c r="E5" s="529"/>
      <c r="F5" s="529"/>
    </row>
    <row r="6" spans="1:7" s="4" customFormat="1" ht="15" customHeight="1" x14ac:dyDescent="0.25">
      <c r="A6" s="63"/>
      <c r="B6" s="530" t="str">
        <f xml:space="preserve"> "Razina: " &amp; RefStr!B16 &amp; ", Razdjel: " &amp; TEXT(INT(VALUE(RefStr!B20)), "000")</f>
        <v>Razina: 22, Razdjel: 000</v>
      </c>
      <c r="C6" s="531"/>
      <c r="D6" s="531"/>
      <c r="E6" s="531"/>
      <c r="F6" s="531"/>
    </row>
    <row r="7" spans="1:7" s="4" customFormat="1" ht="15" customHeight="1" x14ac:dyDescent="0.25">
      <c r="A7" s="63"/>
      <c r="B7" s="530" t="str">
        <f>"Djelatnost: " &amp; RefStr!B18 &amp; " " &amp; RefStr!C18</f>
        <v>Djelatnost: 8411 Opće djelatnosti javne uprave</v>
      </c>
      <c r="C7" s="531"/>
      <c r="D7" s="531"/>
      <c r="E7" s="531"/>
      <c r="F7" s="531"/>
    </row>
    <row r="8" spans="1:7" s="4" customFormat="1" ht="14.25" customHeight="1" x14ac:dyDescent="0.25">
      <c r="A8" s="64"/>
      <c r="B8" s="64"/>
      <c r="C8" s="64"/>
      <c r="D8" s="62"/>
      <c r="F8" s="12" t="s">
        <v>286</v>
      </c>
    </row>
    <row r="9" spans="1:7" ht="36" customHeight="1" x14ac:dyDescent="0.25">
      <c r="A9" s="23" t="s">
        <v>4069</v>
      </c>
      <c r="B9" s="106" t="s">
        <v>1770</v>
      </c>
      <c r="C9" s="22" t="s">
        <v>4501</v>
      </c>
      <c r="D9" s="259" t="s">
        <v>4153</v>
      </c>
      <c r="E9" s="259" t="s">
        <v>4154</v>
      </c>
      <c r="F9" s="19" t="s">
        <v>3574</v>
      </c>
      <c r="G9" s="13"/>
    </row>
    <row r="10" spans="1:7" x14ac:dyDescent="0.25">
      <c r="A10" s="101">
        <v>1</v>
      </c>
      <c r="B10" s="102">
        <v>2</v>
      </c>
      <c r="C10" s="101">
        <v>3</v>
      </c>
      <c r="D10" s="103">
        <v>4</v>
      </c>
      <c r="E10" s="103">
        <v>5</v>
      </c>
      <c r="F10" s="104">
        <v>6</v>
      </c>
      <c r="G10" s="13"/>
    </row>
    <row r="11" spans="1:7" ht="20.100000000000001" customHeight="1" x14ac:dyDescent="0.25">
      <c r="A11" s="537" t="s">
        <v>1845</v>
      </c>
      <c r="B11" s="533"/>
      <c r="C11" s="533"/>
      <c r="D11" s="533"/>
      <c r="E11" s="533"/>
      <c r="F11" s="536"/>
      <c r="G11" s="13"/>
    </row>
    <row r="12" spans="1:7" ht="14.1" customHeight="1" x14ac:dyDescent="0.25">
      <c r="A12" s="210">
        <v>6</v>
      </c>
      <c r="B12" s="211" t="s">
        <v>2140</v>
      </c>
      <c r="C12" s="320">
        <v>1</v>
      </c>
      <c r="D12" s="212">
        <f>D13+D50+D58+D78+D101+D118+D125+D130</f>
        <v>3117130</v>
      </c>
      <c r="E12" s="212">
        <f>E13+E50+E58+E78+E101+E118+E125+E130</f>
        <v>3203693</v>
      </c>
      <c r="F12" s="213">
        <f>IF(D12&gt;0,IF(E12/D12&gt;=100,"&gt;&gt;100",E12/D12*100),"-")</f>
        <v>102.77700962102961</v>
      </c>
      <c r="G12" s="13"/>
    </row>
    <row r="13" spans="1:7" ht="14.1" customHeight="1" x14ac:dyDescent="0.25">
      <c r="A13" s="214">
        <v>61</v>
      </c>
      <c r="B13" s="215" t="s">
        <v>2141</v>
      </c>
      <c r="C13" s="321">
        <v>2</v>
      </c>
      <c r="D13" s="216">
        <f>D14+D23+D29+D35+D43+D46</f>
        <v>1273988</v>
      </c>
      <c r="E13" s="216">
        <f>E14+E23+E29+E35+E43+E46</f>
        <v>1233361</v>
      </c>
      <c r="F13" s="217">
        <f t="shared" ref="F13:F76" si="0">IF(D13&gt;0,IF(E13/D13&gt;=100,"&gt;&gt;100",E13/D13*100),"-")</f>
        <v>96.811037466600951</v>
      </c>
      <c r="G13" s="13"/>
    </row>
    <row r="14" spans="1:7" ht="14.1" customHeight="1" x14ac:dyDescent="0.25">
      <c r="A14" s="214">
        <v>611</v>
      </c>
      <c r="B14" s="215" t="s">
        <v>359</v>
      </c>
      <c r="C14" s="321">
        <v>3</v>
      </c>
      <c r="D14" s="216">
        <f>SUM(D15:D20)-D21-D22</f>
        <v>1171503</v>
      </c>
      <c r="E14" s="216">
        <f>SUM(E15:E20)-E21-E22</f>
        <v>1144389</v>
      </c>
      <c r="F14" s="217">
        <f t="shared" si="0"/>
        <v>97.685537296959552</v>
      </c>
      <c r="G14" s="13"/>
    </row>
    <row r="15" spans="1:7" ht="14.1" customHeight="1" x14ac:dyDescent="0.25">
      <c r="A15" s="214">
        <v>6111</v>
      </c>
      <c r="B15" s="215" t="s">
        <v>357</v>
      </c>
      <c r="C15" s="321">
        <v>4</v>
      </c>
      <c r="D15" s="218">
        <v>1157593</v>
      </c>
      <c r="E15" s="218">
        <v>1150022</v>
      </c>
      <c r="F15" s="217">
        <f t="shared" si="0"/>
        <v>99.345970474942405</v>
      </c>
      <c r="G15" s="13"/>
    </row>
    <row r="16" spans="1:7" ht="14.1" customHeight="1" x14ac:dyDescent="0.25">
      <c r="A16" s="214">
        <v>6112</v>
      </c>
      <c r="B16" s="215" t="s">
        <v>2142</v>
      </c>
      <c r="C16" s="321">
        <v>5</v>
      </c>
      <c r="D16" s="218">
        <v>159014</v>
      </c>
      <c r="E16" s="218">
        <v>152345</v>
      </c>
      <c r="F16" s="217">
        <f t="shared" si="0"/>
        <v>95.806029657765976</v>
      </c>
      <c r="G16" s="13"/>
    </row>
    <row r="17" spans="1:7" ht="14.1" customHeight="1" x14ac:dyDescent="0.25">
      <c r="A17" s="214">
        <v>6113</v>
      </c>
      <c r="B17" s="215" t="s">
        <v>358</v>
      </c>
      <c r="C17" s="321">
        <v>6</v>
      </c>
      <c r="D17" s="218">
        <v>26162</v>
      </c>
      <c r="E17" s="218">
        <v>40801</v>
      </c>
      <c r="F17" s="217">
        <f t="shared" si="0"/>
        <v>155.95520220166654</v>
      </c>
      <c r="G17" s="13"/>
    </row>
    <row r="18" spans="1:7" ht="14.1" customHeight="1" x14ac:dyDescent="0.25">
      <c r="A18" s="214">
        <v>6114</v>
      </c>
      <c r="B18" s="215" t="s">
        <v>1275</v>
      </c>
      <c r="C18" s="321">
        <v>7</v>
      </c>
      <c r="D18" s="218">
        <v>0</v>
      </c>
      <c r="E18" s="218">
        <v>0</v>
      </c>
      <c r="F18" s="217" t="str">
        <f t="shared" si="0"/>
        <v>-</v>
      </c>
      <c r="G18" s="13"/>
    </row>
    <row r="19" spans="1:7" ht="14.1" customHeight="1" x14ac:dyDescent="0.25">
      <c r="A19" s="214">
        <v>6115</v>
      </c>
      <c r="B19" s="215" t="s">
        <v>1276</v>
      </c>
      <c r="C19" s="321">
        <v>8</v>
      </c>
      <c r="D19" s="218">
        <v>0</v>
      </c>
      <c r="E19" s="218">
        <v>0</v>
      </c>
      <c r="F19" s="217" t="str">
        <f t="shared" si="0"/>
        <v>-</v>
      </c>
      <c r="G19" s="13"/>
    </row>
    <row r="20" spans="1:7" ht="14.1" customHeight="1" x14ac:dyDescent="0.25">
      <c r="A20" s="214">
        <v>6116</v>
      </c>
      <c r="B20" s="215" t="s">
        <v>1277</v>
      </c>
      <c r="C20" s="321">
        <v>9</v>
      </c>
      <c r="D20" s="218">
        <v>0</v>
      </c>
      <c r="E20" s="218">
        <v>0</v>
      </c>
      <c r="F20" s="217" t="str">
        <f t="shared" si="0"/>
        <v>-</v>
      </c>
      <c r="G20" s="13"/>
    </row>
    <row r="21" spans="1:7" ht="14.1" customHeight="1" x14ac:dyDescent="0.25">
      <c r="A21" s="214">
        <v>6117</v>
      </c>
      <c r="B21" s="215" t="s">
        <v>1278</v>
      </c>
      <c r="C21" s="321">
        <v>10</v>
      </c>
      <c r="D21" s="218">
        <v>171266</v>
      </c>
      <c r="E21" s="218">
        <v>198779</v>
      </c>
      <c r="F21" s="217">
        <f t="shared" si="0"/>
        <v>116.06448448612102</v>
      </c>
      <c r="G21" s="13"/>
    </row>
    <row r="22" spans="1:7" ht="14.1" customHeight="1" x14ac:dyDescent="0.25">
      <c r="A22" s="214">
        <v>6119</v>
      </c>
      <c r="B22" s="215" t="s">
        <v>2143</v>
      </c>
      <c r="C22" s="321">
        <v>11</v>
      </c>
      <c r="D22" s="218">
        <v>0</v>
      </c>
      <c r="E22" s="218">
        <v>0</v>
      </c>
      <c r="F22" s="217" t="str">
        <f t="shared" si="0"/>
        <v>-</v>
      </c>
      <c r="G22" s="13"/>
    </row>
    <row r="23" spans="1:7" ht="14.1" customHeight="1" x14ac:dyDescent="0.25">
      <c r="A23" s="214">
        <v>612</v>
      </c>
      <c r="B23" s="215" t="s">
        <v>3306</v>
      </c>
      <c r="C23" s="321">
        <v>12</v>
      </c>
      <c r="D23" s="216">
        <f>SUM(D24:D27)-D28</f>
        <v>0</v>
      </c>
      <c r="E23" s="216">
        <f>SUM(E24:E27)-E28</f>
        <v>0</v>
      </c>
      <c r="F23" s="217" t="str">
        <f t="shared" si="0"/>
        <v>-</v>
      </c>
      <c r="G23" s="13"/>
    </row>
    <row r="24" spans="1:7" ht="14.1" customHeight="1" x14ac:dyDescent="0.25">
      <c r="A24" s="214">
        <v>6121</v>
      </c>
      <c r="B24" s="215" t="s">
        <v>1279</v>
      </c>
      <c r="C24" s="321">
        <v>13</v>
      </c>
      <c r="D24" s="218">
        <v>0</v>
      </c>
      <c r="E24" s="218">
        <v>0</v>
      </c>
      <c r="F24" s="217" t="str">
        <f t="shared" si="0"/>
        <v>-</v>
      </c>
      <c r="G24" s="13"/>
    </row>
    <row r="25" spans="1:7" ht="14.1" customHeight="1" x14ac:dyDescent="0.25">
      <c r="A25" s="214">
        <v>6122</v>
      </c>
      <c r="B25" s="215" t="s">
        <v>1280</v>
      </c>
      <c r="C25" s="321">
        <v>14</v>
      </c>
      <c r="D25" s="218">
        <v>0</v>
      </c>
      <c r="E25" s="218">
        <v>0</v>
      </c>
      <c r="F25" s="217" t="str">
        <f t="shared" si="0"/>
        <v>-</v>
      </c>
      <c r="G25" s="13"/>
    </row>
    <row r="26" spans="1:7" ht="14.1" customHeight="1" x14ac:dyDescent="0.25">
      <c r="A26" s="214">
        <v>6123</v>
      </c>
      <c r="B26" s="219" t="s">
        <v>1281</v>
      </c>
      <c r="C26" s="321">
        <v>15</v>
      </c>
      <c r="D26" s="218">
        <v>0</v>
      </c>
      <c r="E26" s="218">
        <v>0</v>
      </c>
      <c r="F26" s="217" t="str">
        <f t="shared" si="0"/>
        <v>-</v>
      </c>
      <c r="G26" s="13"/>
    </row>
    <row r="27" spans="1:7" ht="14.1" customHeight="1" x14ac:dyDescent="0.25">
      <c r="A27" s="214">
        <v>6124</v>
      </c>
      <c r="B27" s="215" t="s">
        <v>2203</v>
      </c>
      <c r="C27" s="321">
        <v>16</v>
      </c>
      <c r="D27" s="218">
        <v>0</v>
      </c>
      <c r="E27" s="218">
        <v>0</v>
      </c>
      <c r="F27" s="217" t="str">
        <f t="shared" si="0"/>
        <v>-</v>
      </c>
      <c r="G27" s="13"/>
    </row>
    <row r="28" spans="1:7" ht="14.1" customHeight="1" x14ac:dyDescent="0.25">
      <c r="A28" s="214">
        <v>6125</v>
      </c>
      <c r="B28" s="215" t="s">
        <v>2204</v>
      </c>
      <c r="C28" s="321">
        <v>17</v>
      </c>
      <c r="D28" s="218">
        <v>0</v>
      </c>
      <c r="E28" s="218">
        <v>0</v>
      </c>
      <c r="F28" s="217" t="str">
        <f t="shared" si="0"/>
        <v>-</v>
      </c>
      <c r="G28" s="13"/>
    </row>
    <row r="29" spans="1:7" ht="14.1" customHeight="1" x14ac:dyDescent="0.25">
      <c r="A29" s="214">
        <v>613</v>
      </c>
      <c r="B29" s="215" t="s">
        <v>3307</v>
      </c>
      <c r="C29" s="321">
        <v>18</v>
      </c>
      <c r="D29" s="216">
        <f>SUM(D30:D34)</f>
        <v>67703</v>
      </c>
      <c r="E29" s="216">
        <f>SUM(E30:E34)</f>
        <v>71268</v>
      </c>
      <c r="F29" s="217">
        <f t="shared" si="0"/>
        <v>105.26564554007946</v>
      </c>
      <c r="G29" s="13"/>
    </row>
    <row r="30" spans="1:7" ht="14.1" customHeight="1" x14ac:dyDescent="0.25">
      <c r="A30" s="214">
        <v>6131</v>
      </c>
      <c r="B30" s="215" t="s">
        <v>2205</v>
      </c>
      <c r="C30" s="321">
        <v>19</v>
      </c>
      <c r="D30" s="218">
        <v>0</v>
      </c>
      <c r="E30" s="218">
        <v>0</v>
      </c>
      <c r="F30" s="217" t="str">
        <f t="shared" si="0"/>
        <v>-</v>
      </c>
      <c r="G30" s="13"/>
    </row>
    <row r="31" spans="1:7" ht="14.1" customHeight="1" x14ac:dyDescent="0.25">
      <c r="A31" s="214">
        <v>6132</v>
      </c>
      <c r="B31" s="215" t="s">
        <v>2206</v>
      </c>
      <c r="C31" s="321">
        <v>20</v>
      </c>
      <c r="D31" s="218">
        <v>0</v>
      </c>
      <c r="E31" s="218">
        <v>0</v>
      </c>
      <c r="F31" s="217" t="str">
        <f t="shared" si="0"/>
        <v>-</v>
      </c>
      <c r="G31" s="13"/>
    </row>
    <row r="32" spans="1:7" ht="14.1" customHeight="1" x14ac:dyDescent="0.25">
      <c r="A32" s="214">
        <v>6133</v>
      </c>
      <c r="B32" s="215" t="s">
        <v>1930</v>
      </c>
      <c r="C32" s="321">
        <v>21</v>
      </c>
      <c r="D32" s="218">
        <v>0</v>
      </c>
      <c r="E32" s="218">
        <v>0</v>
      </c>
      <c r="F32" s="217" t="str">
        <f t="shared" si="0"/>
        <v>-</v>
      </c>
      <c r="G32" s="13"/>
    </row>
    <row r="33" spans="1:7" ht="14.1" customHeight="1" x14ac:dyDescent="0.25">
      <c r="A33" s="214">
        <v>6134</v>
      </c>
      <c r="B33" s="215" t="s">
        <v>2144</v>
      </c>
      <c r="C33" s="321">
        <v>22</v>
      </c>
      <c r="D33" s="218">
        <v>67703</v>
      </c>
      <c r="E33" s="218">
        <v>71268</v>
      </c>
      <c r="F33" s="217">
        <f t="shared" si="0"/>
        <v>105.26564554007946</v>
      </c>
      <c r="G33" s="13"/>
    </row>
    <row r="34" spans="1:7" ht="14.1" customHeight="1" x14ac:dyDescent="0.25">
      <c r="A34" s="214">
        <v>6135</v>
      </c>
      <c r="B34" s="215" t="s">
        <v>2145</v>
      </c>
      <c r="C34" s="321">
        <v>23</v>
      </c>
      <c r="D34" s="218">
        <v>0</v>
      </c>
      <c r="E34" s="218">
        <v>0</v>
      </c>
      <c r="F34" s="217" t="str">
        <f t="shared" si="0"/>
        <v>-</v>
      </c>
      <c r="G34" s="13"/>
    </row>
    <row r="35" spans="1:7" ht="14.1" customHeight="1" x14ac:dyDescent="0.25">
      <c r="A35" s="214">
        <v>614</v>
      </c>
      <c r="B35" s="215" t="s">
        <v>2146</v>
      </c>
      <c r="C35" s="321">
        <v>24</v>
      </c>
      <c r="D35" s="216">
        <f>SUM(D36:D42)</f>
        <v>34782</v>
      </c>
      <c r="E35" s="216">
        <f>SUM(E36:E42)</f>
        <v>17704</v>
      </c>
      <c r="F35" s="217">
        <f t="shared" si="0"/>
        <v>50.899890748088097</v>
      </c>
      <c r="G35" s="13"/>
    </row>
    <row r="36" spans="1:7" ht="14.1" customHeight="1" x14ac:dyDescent="0.25">
      <c r="A36" s="214">
        <v>6141</v>
      </c>
      <c r="B36" s="215" t="s">
        <v>1931</v>
      </c>
      <c r="C36" s="321">
        <v>25</v>
      </c>
      <c r="D36" s="218">
        <v>0</v>
      </c>
      <c r="E36" s="218">
        <v>0</v>
      </c>
      <c r="F36" s="217" t="str">
        <f t="shared" si="0"/>
        <v>-</v>
      </c>
      <c r="G36" s="13"/>
    </row>
    <row r="37" spans="1:7" ht="14.1" customHeight="1" x14ac:dyDescent="0.25">
      <c r="A37" s="214">
        <v>6142</v>
      </c>
      <c r="B37" s="215" t="s">
        <v>1932</v>
      </c>
      <c r="C37" s="321">
        <v>26</v>
      </c>
      <c r="D37" s="218">
        <v>21182</v>
      </c>
      <c r="E37" s="218">
        <v>6542</v>
      </c>
      <c r="F37" s="217">
        <f t="shared" si="0"/>
        <v>30.884713435936174</v>
      </c>
      <c r="G37" s="13"/>
    </row>
    <row r="38" spans="1:7" ht="14.1" customHeight="1" x14ac:dyDescent="0.25">
      <c r="A38" s="214">
        <v>6143</v>
      </c>
      <c r="B38" s="215" t="s">
        <v>2147</v>
      </c>
      <c r="C38" s="321">
        <v>27</v>
      </c>
      <c r="D38" s="218">
        <v>0</v>
      </c>
      <c r="E38" s="218">
        <v>0</v>
      </c>
      <c r="F38" s="217" t="str">
        <f t="shared" si="0"/>
        <v>-</v>
      </c>
      <c r="G38" s="13"/>
    </row>
    <row r="39" spans="1:7" ht="14.1" customHeight="1" x14ac:dyDescent="0.25">
      <c r="A39" s="214">
        <v>6145</v>
      </c>
      <c r="B39" s="215" t="s">
        <v>2148</v>
      </c>
      <c r="C39" s="321">
        <v>28</v>
      </c>
      <c r="D39" s="218">
        <v>13600</v>
      </c>
      <c r="E39" s="218">
        <v>11162</v>
      </c>
      <c r="F39" s="217">
        <f t="shared" si="0"/>
        <v>82.073529411764696</v>
      </c>
      <c r="G39" s="13"/>
    </row>
    <row r="40" spans="1:7" ht="14.1" customHeight="1" x14ac:dyDescent="0.25">
      <c r="A40" s="214">
        <v>6146</v>
      </c>
      <c r="B40" s="215" t="s">
        <v>1271</v>
      </c>
      <c r="C40" s="321">
        <v>29</v>
      </c>
      <c r="D40" s="218">
        <v>0</v>
      </c>
      <c r="E40" s="218">
        <v>0</v>
      </c>
      <c r="F40" s="217" t="str">
        <f t="shared" si="0"/>
        <v>-</v>
      </c>
      <c r="G40" s="13"/>
    </row>
    <row r="41" spans="1:7" ht="14.1" customHeight="1" x14ac:dyDescent="0.25">
      <c r="A41" s="214">
        <v>6147</v>
      </c>
      <c r="B41" s="215" t="s">
        <v>2149</v>
      </c>
      <c r="C41" s="321">
        <v>30</v>
      </c>
      <c r="D41" s="218">
        <v>0</v>
      </c>
      <c r="E41" s="218">
        <v>0</v>
      </c>
      <c r="F41" s="217" t="str">
        <f t="shared" si="0"/>
        <v>-</v>
      </c>
      <c r="G41" s="13"/>
    </row>
    <row r="42" spans="1:7" ht="14.1" customHeight="1" x14ac:dyDescent="0.25">
      <c r="A42" s="214">
        <v>6148</v>
      </c>
      <c r="B42" s="215" t="s">
        <v>2150</v>
      </c>
      <c r="C42" s="321">
        <v>31</v>
      </c>
      <c r="D42" s="218">
        <v>0</v>
      </c>
      <c r="E42" s="218">
        <v>0</v>
      </c>
      <c r="F42" s="217" t="str">
        <f t="shared" si="0"/>
        <v>-</v>
      </c>
      <c r="G42" s="13"/>
    </row>
    <row r="43" spans="1:7" ht="14.1" customHeight="1" x14ac:dyDescent="0.25">
      <c r="A43" s="214">
        <v>615</v>
      </c>
      <c r="B43" s="215" t="s">
        <v>2151</v>
      </c>
      <c r="C43" s="321">
        <v>32</v>
      </c>
      <c r="D43" s="216">
        <f>SUM(D44:D45)</f>
        <v>0</v>
      </c>
      <c r="E43" s="216">
        <f>SUM(E44:E45)</f>
        <v>0</v>
      </c>
      <c r="F43" s="217" t="str">
        <f t="shared" si="0"/>
        <v>-</v>
      </c>
      <c r="G43" s="13"/>
    </row>
    <row r="44" spans="1:7" ht="14.1" customHeight="1" x14ac:dyDescent="0.25">
      <c r="A44" s="214">
        <v>6151</v>
      </c>
      <c r="B44" s="215" t="s">
        <v>1272</v>
      </c>
      <c r="C44" s="321">
        <v>33</v>
      </c>
      <c r="D44" s="218">
        <v>0</v>
      </c>
      <c r="E44" s="218">
        <v>0</v>
      </c>
      <c r="F44" s="217" t="str">
        <f t="shared" si="0"/>
        <v>-</v>
      </c>
      <c r="G44" s="13"/>
    </row>
    <row r="45" spans="1:7" ht="14.1" customHeight="1" x14ac:dyDescent="0.25">
      <c r="A45" s="214">
        <v>6152</v>
      </c>
      <c r="B45" s="215" t="s">
        <v>1273</v>
      </c>
      <c r="C45" s="321">
        <v>34</v>
      </c>
      <c r="D45" s="218">
        <v>0</v>
      </c>
      <c r="E45" s="218">
        <v>0</v>
      </c>
      <c r="F45" s="217" t="str">
        <f t="shared" si="0"/>
        <v>-</v>
      </c>
      <c r="G45" s="13"/>
    </row>
    <row r="46" spans="1:7" ht="14.1" customHeight="1" x14ac:dyDescent="0.25">
      <c r="A46" s="214">
        <v>616</v>
      </c>
      <c r="B46" s="215" t="s">
        <v>2152</v>
      </c>
      <c r="C46" s="321">
        <v>35</v>
      </c>
      <c r="D46" s="216">
        <f>SUM(D47:D49)</f>
        <v>0</v>
      </c>
      <c r="E46" s="216">
        <f>SUM(E47:E49)</f>
        <v>0</v>
      </c>
      <c r="F46" s="217" t="str">
        <f t="shared" si="0"/>
        <v>-</v>
      </c>
      <c r="G46" s="13"/>
    </row>
    <row r="47" spans="1:7" ht="14.1" customHeight="1" x14ac:dyDescent="0.25">
      <c r="A47" s="214">
        <v>6161</v>
      </c>
      <c r="B47" s="215" t="s">
        <v>1274</v>
      </c>
      <c r="C47" s="321">
        <v>36</v>
      </c>
      <c r="D47" s="218">
        <v>0</v>
      </c>
      <c r="E47" s="218">
        <v>0</v>
      </c>
      <c r="F47" s="217" t="str">
        <f t="shared" si="0"/>
        <v>-</v>
      </c>
      <c r="G47" s="13"/>
    </row>
    <row r="48" spans="1:7" ht="14.1" customHeight="1" x14ac:dyDescent="0.25">
      <c r="A48" s="214">
        <v>6162</v>
      </c>
      <c r="B48" s="215" t="s">
        <v>2741</v>
      </c>
      <c r="C48" s="321">
        <v>37</v>
      </c>
      <c r="D48" s="218">
        <v>0</v>
      </c>
      <c r="E48" s="218">
        <v>0</v>
      </c>
      <c r="F48" s="217" t="str">
        <f t="shared" si="0"/>
        <v>-</v>
      </c>
      <c r="G48" s="13"/>
    </row>
    <row r="49" spans="1:7" ht="14.1" customHeight="1" x14ac:dyDescent="0.25">
      <c r="A49" s="214">
        <v>6163</v>
      </c>
      <c r="B49" s="215" t="s">
        <v>2833</v>
      </c>
      <c r="C49" s="321">
        <v>38</v>
      </c>
      <c r="D49" s="218">
        <v>0</v>
      </c>
      <c r="E49" s="218">
        <v>0</v>
      </c>
      <c r="F49" s="217" t="str">
        <f t="shared" si="0"/>
        <v>-</v>
      </c>
      <c r="G49" s="13"/>
    </row>
    <row r="50" spans="1:7" ht="14.1" customHeight="1" x14ac:dyDescent="0.25">
      <c r="A50" s="214">
        <v>62</v>
      </c>
      <c r="B50" s="215" t="s">
        <v>2153</v>
      </c>
      <c r="C50" s="321">
        <v>39</v>
      </c>
      <c r="D50" s="216">
        <f>D51+D54+D56</f>
        <v>0</v>
      </c>
      <c r="E50" s="216">
        <f>E51+E54+E56</f>
        <v>0</v>
      </c>
      <c r="F50" s="217" t="str">
        <f t="shared" si="0"/>
        <v>-</v>
      </c>
      <c r="G50" s="13"/>
    </row>
    <row r="51" spans="1:7" ht="14.1" customHeight="1" x14ac:dyDescent="0.25">
      <c r="A51" s="214">
        <v>621</v>
      </c>
      <c r="B51" s="215" t="s">
        <v>2154</v>
      </c>
      <c r="C51" s="321">
        <v>40</v>
      </c>
      <c r="D51" s="216">
        <f>SUM(D52:D53)</f>
        <v>0</v>
      </c>
      <c r="E51" s="216">
        <f>SUM(E52:E53)</f>
        <v>0</v>
      </c>
      <c r="F51" s="217" t="str">
        <f t="shared" si="0"/>
        <v>-</v>
      </c>
      <c r="G51" s="13"/>
    </row>
    <row r="52" spans="1:7" ht="14.1" customHeight="1" x14ac:dyDescent="0.25">
      <c r="A52" s="214">
        <v>6211</v>
      </c>
      <c r="B52" s="215" t="s">
        <v>879</v>
      </c>
      <c r="C52" s="321">
        <v>41</v>
      </c>
      <c r="D52" s="218">
        <v>0</v>
      </c>
      <c r="E52" s="218">
        <v>0</v>
      </c>
      <c r="F52" s="217" t="str">
        <f t="shared" si="0"/>
        <v>-</v>
      </c>
      <c r="G52" s="13"/>
    </row>
    <row r="53" spans="1:7" ht="14.1" customHeight="1" x14ac:dyDescent="0.25">
      <c r="A53" s="214">
        <v>6212</v>
      </c>
      <c r="B53" s="215" t="s">
        <v>1488</v>
      </c>
      <c r="C53" s="321">
        <v>42</v>
      </c>
      <c r="D53" s="218">
        <v>0</v>
      </c>
      <c r="E53" s="218">
        <v>0</v>
      </c>
      <c r="F53" s="217" t="str">
        <f t="shared" si="0"/>
        <v>-</v>
      </c>
      <c r="G53" s="13"/>
    </row>
    <row r="54" spans="1:7" ht="14.1" customHeight="1" x14ac:dyDescent="0.25">
      <c r="A54" s="214">
        <v>622</v>
      </c>
      <c r="B54" s="215" t="s">
        <v>1489</v>
      </c>
      <c r="C54" s="321">
        <v>43</v>
      </c>
      <c r="D54" s="216">
        <f>D55</f>
        <v>0</v>
      </c>
      <c r="E54" s="216">
        <f>E55</f>
        <v>0</v>
      </c>
      <c r="F54" s="217" t="str">
        <f t="shared" si="0"/>
        <v>-</v>
      </c>
      <c r="G54" s="13"/>
    </row>
    <row r="55" spans="1:7" ht="14.1" customHeight="1" x14ac:dyDescent="0.25">
      <c r="A55" s="214">
        <v>6221</v>
      </c>
      <c r="B55" s="215" t="s">
        <v>1490</v>
      </c>
      <c r="C55" s="321">
        <v>44</v>
      </c>
      <c r="D55" s="218">
        <v>0</v>
      </c>
      <c r="E55" s="218">
        <v>0</v>
      </c>
      <c r="F55" s="217" t="str">
        <f t="shared" si="0"/>
        <v>-</v>
      </c>
      <c r="G55" s="13"/>
    </row>
    <row r="56" spans="1:7" ht="14.1" customHeight="1" x14ac:dyDescent="0.25">
      <c r="A56" s="214">
        <v>623</v>
      </c>
      <c r="B56" s="215" t="s">
        <v>1491</v>
      </c>
      <c r="C56" s="321">
        <v>45</v>
      </c>
      <c r="D56" s="216">
        <f>D57</f>
        <v>0</v>
      </c>
      <c r="E56" s="216">
        <f>E57</f>
        <v>0</v>
      </c>
      <c r="F56" s="217" t="str">
        <f t="shared" si="0"/>
        <v>-</v>
      </c>
      <c r="G56" s="13"/>
    </row>
    <row r="57" spans="1:7" ht="14.1" customHeight="1" x14ac:dyDescent="0.25">
      <c r="A57" s="214">
        <v>6232</v>
      </c>
      <c r="B57" s="215" t="s">
        <v>1492</v>
      </c>
      <c r="C57" s="321">
        <v>46</v>
      </c>
      <c r="D57" s="218">
        <v>0</v>
      </c>
      <c r="E57" s="218">
        <v>0</v>
      </c>
      <c r="F57" s="217" t="str">
        <f t="shared" si="0"/>
        <v>-</v>
      </c>
      <c r="G57" s="13"/>
    </row>
    <row r="58" spans="1:7" ht="24.9" customHeight="1" x14ac:dyDescent="0.25">
      <c r="A58" s="214">
        <v>63</v>
      </c>
      <c r="B58" s="215" t="s">
        <v>634</v>
      </c>
      <c r="C58" s="321">
        <v>47</v>
      </c>
      <c r="D58" s="216">
        <f>D59+D62+D67+D72+D75</f>
        <v>584402</v>
      </c>
      <c r="E58" s="216">
        <f>E59+E62+E67+E72+E75</f>
        <v>620733</v>
      </c>
      <c r="F58" s="217">
        <f t="shared" si="0"/>
        <v>106.21678228342819</v>
      </c>
      <c r="G58" s="13"/>
    </row>
    <row r="59" spans="1:7" ht="14.1" customHeight="1" x14ac:dyDescent="0.25">
      <c r="A59" s="214">
        <v>631</v>
      </c>
      <c r="B59" s="215" t="s">
        <v>635</v>
      </c>
      <c r="C59" s="321">
        <v>48</v>
      </c>
      <c r="D59" s="216">
        <f>SUM(D60:D61)</f>
        <v>0</v>
      </c>
      <c r="E59" s="216">
        <f>SUM(E60:E61)</f>
        <v>0</v>
      </c>
      <c r="F59" s="217" t="str">
        <f t="shared" si="0"/>
        <v>-</v>
      </c>
      <c r="G59" s="13"/>
    </row>
    <row r="60" spans="1:7" ht="14.1" customHeight="1" x14ac:dyDescent="0.25">
      <c r="A60" s="214">
        <v>6311</v>
      </c>
      <c r="B60" s="215" t="s">
        <v>19</v>
      </c>
      <c r="C60" s="321">
        <v>49</v>
      </c>
      <c r="D60" s="218">
        <v>0</v>
      </c>
      <c r="E60" s="218">
        <v>0</v>
      </c>
      <c r="F60" s="217" t="str">
        <f t="shared" si="0"/>
        <v>-</v>
      </c>
      <c r="G60" s="13"/>
    </row>
    <row r="61" spans="1:7" ht="14.1" customHeight="1" x14ac:dyDescent="0.25">
      <c r="A61" s="214">
        <v>6312</v>
      </c>
      <c r="B61" s="215" t="s">
        <v>20</v>
      </c>
      <c r="C61" s="321">
        <v>50</v>
      </c>
      <c r="D61" s="218">
        <v>0</v>
      </c>
      <c r="E61" s="218">
        <v>0</v>
      </c>
      <c r="F61" s="217" t="str">
        <f t="shared" si="0"/>
        <v>-</v>
      </c>
      <c r="G61" s="13"/>
    </row>
    <row r="62" spans="1:7" ht="14.1" customHeight="1" x14ac:dyDescent="0.25">
      <c r="A62" s="214">
        <v>632</v>
      </c>
      <c r="B62" s="215" t="s">
        <v>636</v>
      </c>
      <c r="C62" s="321">
        <v>51</v>
      </c>
      <c r="D62" s="216">
        <f>SUM(D63:D66)</f>
        <v>0</v>
      </c>
      <c r="E62" s="216">
        <f>SUM(E63:E66)</f>
        <v>0</v>
      </c>
      <c r="F62" s="217" t="str">
        <f t="shared" si="0"/>
        <v>-</v>
      </c>
      <c r="G62" s="13"/>
    </row>
    <row r="63" spans="1:7" ht="14.1" customHeight="1" x14ac:dyDescent="0.25">
      <c r="A63" s="214">
        <v>6321</v>
      </c>
      <c r="B63" s="215" t="s">
        <v>4046</v>
      </c>
      <c r="C63" s="321">
        <v>52</v>
      </c>
      <c r="D63" s="218">
        <v>0</v>
      </c>
      <c r="E63" s="218">
        <v>0</v>
      </c>
      <c r="F63" s="217" t="str">
        <f t="shared" si="0"/>
        <v>-</v>
      </c>
      <c r="G63" s="13"/>
    </row>
    <row r="64" spans="1:7" ht="14.1" customHeight="1" x14ac:dyDescent="0.25">
      <c r="A64" s="214">
        <v>6322</v>
      </c>
      <c r="B64" s="215" t="s">
        <v>4047</v>
      </c>
      <c r="C64" s="321">
        <v>53</v>
      </c>
      <c r="D64" s="218">
        <v>0</v>
      </c>
      <c r="E64" s="218">
        <v>0</v>
      </c>
      <c r="F64" s="217" t="str">
        <f t="shared" si="0"/>
        <v>-</v>
      </c>
      <c r="G64" s="13"/>
    </row>
    <row r="65" spans="1:7" ht="14.1" customHeight="1" x14ac:dyDescent="0.25">
      <c r="A65" s="214">
        <v>6323</v>
      </c>
      <c r="B65" s="215" t="s">
        <v>637</v>
      </c>
      <c r="C65" s="321">
        <v>54</v>
      </c>
      <c r="D65" s="218">
        <v>0</v>
      </c>
      <c r="E65" s="218">
        <v>0</v>
      </c>
      <c r="F65" s="217" t="str">
        <f t="shared" si="0"/>
        <v>-</v>
      </c>
      <c r="G65" s="13"/>
    </row>
    <row r="66" spans="1:7" ht="14.1" customHeight="1" x14ac:dyDescent="0.25">
      <c r="A66" s="214">
        <v>6324</v>
      </c>
      <c r="B66" s="215" t="s">
        <v>638</v>
      </c>
      <c r="C66" s="321">
        <v>55</v>
      </c>
      <c r="D66" s="218">
        <v>0</v>
      </c>
      <c r="E66" s="218">
        <v>0</v>
      </c>
      <c r="F66" s="217" t="str">
        <f t="shared" si="0"/>
        <v>-</v>
      </c>
      <c r="G66" s="13"/>
    </row>
    <row r="67" spans="1:7" ht="14.1" customHeight="1" x14ac:dyDescent="0.25">
      <c r="A67" s="214">
        <v>633</v>
      </c>
      <c r="B67" s="215" t="s">
        <v>639</v>
      </c>
      <c r="C67" s="321">
        <v>56</v>
      </c>
      <c r="D67" s="216">
        <f>SUM(D68:D71)</f>
        <v>584402</v>
      </c>
      <c r="E67" s="216">
        <f>SUM(E68:E71)</f>
        <v>620733</v>
      </c>
      <c r="F67" s="217">
        <f t="shared" si="0"/>
        <v>106.21678228342819</v>
      </c>
      <c r="G67" s="13"/>
    </row>
    <row r="68" spans="1:7" ht="14.1" customHeight="1" x14ac:dyDescent="0.25">
      <c r="A68" s="214">
        <v>6331</v>
      </c>
      <c r="B68" s="215" t="s">
        <v>4048</v>
      </c>
      <c r="C68" s="321">
        <v>57</v>
      </c>
      <c r="D68" s="218">
        <v>286907</v>
      </c>
      <c r="E68" s="218">
        <v>116274</v>
      </c>
      <c r="F68" s="217">
        <f t="shared" si="0"/>
        <v>40.526721202340823</v>
      </c>
      <c r="G68" s="13"/>
    </row>
    <row r="69" spans="1:7" ht="14.1" customHeight="1" x14ac:dyDescent="0.25">
      <c r="A69" s="214">
        <v>6332</v>
      </c>
      <c r="B69" s="215" t="s">
        <v>4049</v>
      </c>
      <c r="C69" s="321">
        <v>58</v>
      </c>
      <c r="D69" s="218">
        <v>297495</v>
      </c>
      <c r="E69" s="218">
        <v>504459</v>
      </c>
      <c r="F69" s="217">
        <f t="shared" si="0"/>
        <v>169.56890031765241</v>
      </c>
      <c r="G69" s="13"/>
    </row>
    <row r="70" spans="1:7" ht="14.1" customHeight="1" x14ac:dyDescent="0.25">
      <c r="A70" s="214">
        <v>6333</v>
      </c>
      <c r="B70" s="215" t="s">
        <v>640</v>
      </c>
      <c r="C70" s="321">
        <v>59</v>
      </c>
      <c r="D70" s="218">
        <v>0</v>
      </c>
      <c r="E70" s="218">
        <v>0</v>
      </c>
      <c r="F70" s="217" t="str">
        <f t="shared" si="0"/>
        <v>-</v>
      </c>
      <c r="G70" s="13"/>
    </row>
    <row r="71" spans="1:7" ht="14.1" customHeight="1" x14ac:dyDescent="0.25">
      <c r="A71" s="214">
        <v>6334</v>
      </c>
      <c r="B71" s="215" t="s">
        <v>641</v>
      </c>
      <c r="C71" s="321">
        <v>60</v>
      </c>
      <c r="D71" s="218">
        <v>0</v>
      </c>
      <c r="E71" s="218">
        <v>0</v>
      </c>
      <c r="F71" s="217" t="str">
        <f t="shared" si="0"/>
        <v>-</v>
      </c>
      <c r="G71" s="13"/>
    </row>
    <row r="72" spans="1:7" ht="14.1" customHeight="1" x14ac:dyDescent="0.25">
      <c r="A72" s="214">
        <v>634</v>
      </c>
      <c r="B72" s="215" t="s">
        <v>1466</v>
      </c>
      <c r="C72" s="321">
        <v>61</v>
      </c>
      <c r="D72" s="216">
        <f>SUM(D73:D74)</f>
        <v>0</v>
      </c>
      <c r="E72" s="216">
        <f>SUM(E73:E74)</f>
        <v>0</v>
      </c>
      <c r="F72" s="217" t="str">
        <f t="shared" si="0"/>
        <v>-</v>
      </c>
      <c r="G72" s="13"/>
    </row>
    <row r="73" spans="1:7" ht="14.1" customHeight="1" x14ac:dyDescent="0.25">
      <c r="A73" s="214">
        <v>6341</v>
      </c>
      <c r="B73" s="219" t="s">
        <v>3817</v>
      </c>
      <c r="C73" s="321">
        <v>62</v>
      </c>
      <c r="D73" s="218">
        <v>0</v>
      </c>
      <c r="E73" s="218">
        <v>0</v>
      </c>
      <c r="F73" s="217" t="str">
        <f t="shared" si="0"/>
        <v>-</v>
      </c>
      <c r="G73" s="13"/>
    </row>
    <row r="74" spans="1:7" ht="14.1" customHeight="1" x14ac:dyDescent="0.25">
      <c r="A74" s="214">
        <v>6342</v>
      </c>
      <c r="B74" s="215" t="s">
        <v>3818</v>
      </c>
      <c r="C74" s="321">
        <v>63</v>
      </c>
      <c r="D74" s="218">
        <v>0</v>
      </c>
      <c r="E74" s="218">
        <v>0</v>
      </c>
      <c r="F74" s="217" t="str">
        <f t="shared" si="0"/>
        <v>-</v>
      </c>
      <c r="G74" s="13"/>
    </row>
    <row r="75" spans="1:7" ht="14.1" customHeight="1" x14ac:dyDescent="0.25">
      <c r="A75" s="214">
        <v>635</v>
      </c>
      <c r="B75" s="215" t="s">
        <v>3819</v>
      </c>
      <c r="C75" s="321">
        <v>64</v>
      </c>
      <c r="D75" s="216">
        <f>SUM(D76:D77)</f>
        <v>0</v>
      </c>
      <c r="E75" s="216">
        <f>SUM(E76:E77)</f>
        <v>0</v>
      </c>
      <c r="F75" s="217" t="str">
        <f t="shared" si="0"/>
        <v>-</v>
      </c>
      <c r="G75" s="13"/>
    </row>
    <row r="76" spans="1:7" ht="14.1" customHeight="1" x14ac:dyDescent="0.25">
      <c r="A76" s="214">
        <v>6351</v>
      </c>
      <c r="B76" s="215" t="s">
        <v>3820</v>
      </c>
      <c r="C76" s="321">
        <v>65</v>
      </c>
      <c r="D76" s="218">
        <v>0</v>
      </c>
      <c r="E76" s="218">
        <v>0</v>
      </c>
      <c r="F76" s="217" t="str">
        <f t="shared" si="0"/>
        <v>-</v>
      </c>
      <c r="G76" s="13"/>
    </row>
    <row r="77" spans="1:7" ht="14.1" customHeight="1" x14ac:dyDescent="0.25">
      <c r="A77" s="214">
        <v>6352</v>
      </c>
      <c r="B77" s="215" t="s">
        <v>3821</v>
      </c>
      <c r="C77" s="321">
        <v>66</v>
      </c>
      <c r="D77" s="218">
        <v>0</v>
      </c>
      <c r="E77" s="218">
        <v>0</v>
      </c>
      <c r="F77" s="217" t="str">
        <f t="shared" ref="F77:F140" si="1">IF(D77&gt;0,IF(E77/D77&gt;=100,"&gt;&gt;100",E77/D77*100),"-")</f>
        <v>-</v>
      </c>
      <c r="G77" s="13"/>
    </row>
    <row r="78" spans="1:7" ht="14.1" customHeight="1" x14ac:dyDescent="0.25">
      <c r="A78" s="214">
        <v>64</v>
      </c>
      <c r="B78" s="215" t="s">
        <v>3822</v>
      </c>
      <c r="C78" s="321">
        <v>67</v>
      </c>
      <c r="D78" s="216">
        <f>D79+D87+D93</f>
        <v>703032</v>
      </c>
      <c r="E78" s="216">
        <f>E79+E87+E93</f>
        <v>651927</v>
      </c>
      <c r="F78" s="217">
        <f t="shared" si="1"/>
        <v>92.730771856757585</v>
      </c>
      <c r="G78" s="13"/>
    </row>
    <row r="79" spans="1:7" ht="14.1" customHeight="1" x14ac:dyDescent="0.25">
      <c r="A79" s="214">
        <v>641</v>
      </c>
      <c r="B79" s="215" t="s">
        <v>2661</v>
      </c>
      <c r="C79" s="321">
        <v>68</v>
      </c>
      <c r="D79" s="216">
        <f>SUM(D80:D86)</f>
        <v>5959</v>
      </c>
      <c r="E79" s="216">
        <f>SUM(E80:E86)</f>
        <v>5352</v>
      </c>
      <c r="F79" s="217">
        <f t="shared" si="1"/>
        <v>89.81372713542541</v>
      </c>
      <c r="G79" s="13"/>
    </row>
    <row r="80" spans="1:7" ht="14.1" customHeight="1" x14ac:dyDescent="0.25">
      <c r="A80" s="214">
        <v>6412</v>
      </c>
      <c r="B80" s="215" t="s">
        <v>2196</v>
      </c>
      <c r="C80" s="321">
        <v>69</v>
      </c>
      <c r="D80" s="218">
        <v>0</v>
      </c>
      <c r="E80" s="218">
        <v>0</v>
      </c>
      <c r="F80" s="217" t="str">
        <f t="shared" si="1"/>
        <v>-</v>
      </c>
      <c r="G80" s="13"/>
    </row>
    <row r="81" spans="1:7" ht="14.1" customHeight="1" x14ac:dyDescent="0.25">
      <c r="A81" s="214">
        <v>6413</v>
      </c>
      <c r="B81" s="215" t="s">
        <v>2197</v>
      </c>
      <c r="C81" s="321">
        <v>70</v>
      </c>
      <c r="D81" s="218">
        <v>5959</v>
      </c>
      <c r="E81" s="218">
        <v>5352</v>
      </c>
      <c r="F81" s="217">
        <f t="shared" si="1"/>
        <v>89.81372713542541</v>
      </c>
      <c r="G81" s="13"/>
    </row>
    <row r="82" spans="1:7" ht="14.1" customHeight="1" x14ac:dyDescent="0.25">
      <c r="A82" s="214">
        <v>6414</v>
      </c>
      <c r="B82" s="215" t="s">
        <v>2198</v>
      </c>
      <c r="C82" s="321">
        <v>71</v>
      </c>
      <c r="D82" s="218">
        <v>0</v>
      </c>
      <c r="E82" s="218">
        <v>0</v>
      </c>
      <c r="F82" s="217" t="str">
        <f t="shared" si="1"/>
        <v>-</v>
      </c>
      <c r="G82" s="13"/>
    </row>
    <row r="83" spans="1:7" ht="14.1" customHeight="1" x14ac:dyDescent="0.25">
      <c r="A83" s="214">
        <v>6415</v>
      </c>
      <c r="B83" s="215" t="s">
        <v>2662</v>
      </c>
      <c r="C83" s="321">
        <v>72</v>
      </c>
      <c r="D83" s="218">
        <v>0</v>
      </c>
      <c r="E83" s="218">
        <v>0</v>
      </c>
      <c r="F83" s="217" t="str">
        <f t="shared" si="1"/>
        <v>-</v>
      </c>
      <c r="G83" s="13"/>
    </row>
    <row r="84" spans="1:7" ht="14.1" customHeight="1" x14ac:dyDescent="0.25">
      <c r="A84" s="214">
        <v>6416</v>
      </c>
      <c r="B84" s="215" t="s">
        <v>2199</v>
      </c>
      <c r="C84" s="321">
        <v>73</v>
      </c>
      <c r="D84" s="218">
        <v>0</v>
      </c>
      <c r="E84" s="218">
        <v>0</v>
      </c>
      <c r="F84" s="217" t="str">
        <f t="shared" si="1"/>
        <v>-</v>
      </c>
      <c r="G84" s="13"/>
    </row>
    <row r="85" spans="1:7" ht="24.9" customHeight="1" x14ac:dyDescent="0.25">
      <c r="A85" s="214">
        <v>6417</v>
      </c>
      <c r="B85" s="215" t="s">
        <v>2663</v>
      </c>
      <c r="C85" s="321">
        <v>74</v>
      </c>
      <c r="D85" s="218">
        <v>0</v>
      </c>
      <c r="E85" s="218">
        <v>0</v>
      </c>
      <c r="F85" s="217" t="str">
        <f t="shared" si="1"/>
        <v>-</v>
      </c>
      <c r="G85" s="13"/>
    </row>
    <row r="86" spans="1:7" ht="14.1" customHeight="1" x14ac:dyDescent="0.25">
      <c r="A86" s="214">
        <v>6419</v>
      </c>
      <c r="B86" s="215" t="s">
        <v>278</v>
      </c>
      <c r="C86" s="321">
        <v>75</v>
      </c>
      <c r="D86" s="218">
        <v>0</v>
      </c>
      <c r="E86" s="218">
        <v>0</v>
      </c>
      <c r="F86" s="217" t="str">
        <f t="shared" si="1"/>
        <v>-</v>
      </c>
      <c r="G86" s="13"/>
    </row>
    <row r="87" spans="1:7" ht="14.1" customHeight="1" x14ac:dyDescent="0.25">
      <c r="A87" s="214">
        <v>642</v>
      </c>
      <c r="B87" s="215" t="s">
        <v>2664</v>
      </c>
      <c r="C87" s="321">
        <v>76</v>
      </c>
      <c r="D87" s="216">
        <f>SUM(D88:D92)</f>
        <v>697073</v>
      </c>
      <c r="E87" s="216">
        <f>SUM(E88:E92)</f>
        <v>646575</v>
      </c>
      <c r="F87" s="217">
        <f t="shared" si="1"/>
        <v>92.755708512594808</v>
      </c>
      <c r="G87" s="13"/>
    </row>
    <row r="88" spans="1:7" ht="14.1" customHeight="1" x14ac:dyDescent="0.25">
      <c r="A88" s="214">
        <v>6421</v>
      </c>
      <c r="B88" s="215" t="s">
        <v>279</v>
      </c>
      <c r="C88" s="321">
        <v>77</v>
      </c>
      <c r="D88" s="218">
        <v>17550</v>
      </c>
      <c r="E88" s="218">
        <v>7104</v>
      </c>
      <c r="F88" s="217">
        <f t="shared" si="1"/>
        <v>40.478632478632484</v>
      </c>
      <c r="G88" s="13"/>
    </row>
    <row r="89" spans="1:7" ht="14.1" customHeight="1" x14ac:dyDescent="0.25">
      <c r="A89" s="214">
        <v>6422</v>
      </c>
      <c r="B89" s="215" t="s">
        <v>4203</v>
      </c>
      <c r="C89" s="321">
        <v>78</v>
      </c>
      <c r="D89" s="218">
        <v>31864</v>
      </c>
      <c r="E89" s="218">
        <v>18580</v>
      </c>
      <c r="F89" s="217">
        <f t="shared" si="1"/>
        <v>58.310318855134327</v>
      </c>
      <c r="G89" s="13"/>
    </row>
    <row r="90" spans="1:7" ht="14.1" customHeight="1" x14ac:dyDescent="0.25">
      <c r="A90" s="214">
        <v>6423</v>
      </c>
      <c r="B90" s="215" t="s">
        <v>2665</v>
      </c>
      <c r="C90" s="321">
        <v>79</v>
      </c>
      <c r="D90" s="218">
        <v>647659</v>
      </c>
      <c r="E90" s="218">
        <v>620891</v>
      </c>
      <c r="F90" s="217">
        <f t="shared" si="1"/>
        <v>95.866960854400233</v>
      </c>
      <c r="G90" s="13"/>
    </row>
    <row r="91" spans="1:7" ht="14.1" customHeight="1" x14ac:dyDescent="0.25">
      <c r="A91" s="214">
        <v>6424</v>
      </c>
      <c r="B91" s="215" t="s">
        <v>4205</v>
      </c>
      <c r="C91" s="321">
        <v>80</v>
      </c>
      <c r="D91" s="218">
        <v>0</v>
      </c>
      <c r="E91" s="218">
        <v>0</v>
      </c>
      <c r="F91" s="217" t="str">
        <f t="shared" si="1"/>
        <v>-</v>
      </c>
      <c r="G91" s="13"/>
    </row>
    <row r="92" spans="1:7" ht="14.1" customHeight="1" x14ac:dyDescent="0.25">
      <c r="A92" s="214">
        <v>6429</v>
      </c>
      <c r="B92" s="215" t="s">
        <v>4204</v>
      </c>
      <c r="C92" s="321">
        <v>81</v>
      </c>
      <c r="D92" s="218">
        <v>0</v>
      </c>
      <c r="E92" s="218">
        <v>0</v>
      </c>
      <c r="F92" s="217" t="str">
        <f t="shared" si="1"/>
        <v>-</v>
      </c>
      <c r="G92" s="13"/>
    </row>
    <row r="93" spans="1:7" ht="14.1" customHeight="1" x14ac:dyDescent="0.25">
      <c r="A93" s="214">
        <v>643</v>
      </c>
      <c r="B93" s="215" t="s">
        <v>2666</v>
      </c>
      <c r="C93" s="321">
        <v>82</v>
      </c>
      <c r="D93" s="216">
        <f>SUM(D94:D100)</f>
        <v>0</v>
      </c>
      <c r="E93" s="216">
        <f>SUM(E94:E100)</f>
        <v>0</v>
      </c>
      <c r="F93" s="217" t="str">
        <f t="shared" si="1"/>
        <v>-</v>
      </c>
      <c r="G93" s="13"/>
    </row>
    <row r="94" spans="1:7" ht="24.9" customHeight="1" x14ac:dyDescent="0.25">
      <c r="A94" s="214">
        <v>6431</v>
      </c>
      <c r="B94" s="215" t="s">
        <v>2667</v>
      </c>
      <c r="C94" s="321">
        <v>83</v>
      </c>
      <c r="D94" s="218">
        <v>0</v>
      </c>
      <c r="E94" s="218">
        <v>0</v>
      </c>
      <c r="F94" s="217" t="str">
        <f t="shared" si="1"/>
        <v>-</v>
      </c>
      <c r="G94" s="13"/>
    </row>
    <row r="95" spans="1:7" ht="14.1" customHeight="1" x14ac:dyDescent="0.25">
      <c r="A95" s="214">
        <v>6432</v>
      </c>
      <c r="B95" s="219" t="s">
        <v>2668</v>
      </c>
      <c r="C95" s="321">
        <v>84</v>
      </c>
      <c r="D95" s="218">
        <v>0</v>
      </c>
      <c r="E95" s="218">
        <v>0</v>
      </c>
      <c r="F95" s="217" t="str">
        <f t="shared" si="1"/>
        <v>-</v>
      </c>
      <c r="G95" s="13"/>
    </row>
    <row r="96" spans="1:7" ht="14.1" customHeight="1" x14ac:dyDescent="0.25">
      <c r="A96" s="214">
        <v>6433</v>
      </c>
      <c r="B96" s="219" t="s">
        <v>2669</v>
      </c>
      <c r="C96" s="321">
        <v>85</v>
      </c>
      <c r="D96" s="218">
        <v>0</v>
      </c>
      <c r="E96" s="218">
        <v>0</v>
      </c>
      <c r="F96" s="217" t="str">
        <f t="shared" si="1"/>
        <v>-</v>
      </c>
      <c r="G96" s="13"/>
    </row>
    <row r="97" spans="1:7" ht="14.1" customHeight="1" x14ac:dyDescent="0.25">
      <c r="A97" s="214">
        <v>6434</v>
      </c>
      <c r="B97" s="215" t="s">
        <v>2670</v>
      </c>
      <c r="C97" s="321">
        <v>86</v>
      </c>
      <c r="D97" s="218">
        <v>0</v>
      </c>
      <c r="E97" s="218">
        <v>0</v>
      </c>
      <c r="F97" s="217" t="str">
        <f t="shared" si="1"/>
        <v>-</v>
      </c>
      <c r="G97" s="13"/>
    </row>
    <row r="98" spans="1:7" ht="14.1" customHeight="1" x14ac:dyDescent="0.25">
      <c r="A98" s="214">
        <v>6435</v>
      </c>
      <c r="B98" s="219" t="s">
        <v>2671</v>
      </c>
      <c r="C98" s="321">
        <v>87</v>
      </c>
      <c r="D98" s="218">
        <v>0</v>
      </c>
      <c r="E98" s="218">
        <v>0</v>
      </c>
      <c r="F98" s="217" t="str">
        <f t="shared" si="1"/>
        <v>-</v>
      </c>
      <c r="G98" s="13"/>
    </row>
    <row r="99" spans="1:7" ht="14.1" customHeight="1" x14ac:dyDescent="0.25">
      <c r="A99" s="214">
        <v>6436</v>
      </c>
      <c r="B99" s="219" t="s">
        <v>2672</v>
      </c>
      <c r="C99" s="321">
        <v>88</v>
      </c>
      <c r="D99" s="218">
        <v>0</v>
      </c>
      <c r="E99" s="218">
        <v>0</v>
      </c>
      <c r="F99" s="217" t="str">
        <f t="shared" si="1"/>
        <v>-</v>
      </c>
      <c r="G99" s="13"/>
    </row>
    <row r="100" spans="1:7" ht="14.1" customHeight="1" x14ac:dyDescent="0.25">
      <c r="A100" s="214">
        <v>6437</v>
      </c>
      <c r="B100" s="215" t="s">
        <v>2673</v>
      </c>
      <c r="C100" s="321">
        <v>89</v>
      </c>
      <c r="D100" s="218">
        <v>0</v>
      </c>
      <c r="E100" s="218">
        <v>0</v>
      </c>
      <c r="F100" s="217" t="str">
        <f t="shared" si="1"/>
        <v>-</v>
      </c>
      <c r="G100" s="13"/>
    </row>
    <row r="101" spans="1:7" ht="24.9" customHeight="1" x14ac:dyDescent="0.25">
      <c r="A101" s="214">
        <v>65</v>
      </c>
      <c r="B101" s="215" t="s">
        <v>2674</v>
      </c>
      <c r="C101" s="321">
        <v>90</v>
      </c>
      <c r="D101" s="216">
        <f>D102+D107+D114</f>
        <v>555708</v>
      </c>
      <c r="E101" s="216">
        <f>E102+E107+E114</f>
        <v>697672</v>
      </c>
      <c r="F101" s="217">
        <f t="shared" si="1"/>
        <v>125.54651003764567</v>
      </c>
      <c r="G101" s="13"/>
    </row>
    <row r="102" spans="1:7" ht="14.1" customHeight="1" x14ac:dyDescent="0.25">
      <c r="A102" s="214">
        <v>651</v>
      </c>
      <c r="B102" s="215" t="s">
        <v>2675</v>
      </c>
      <c r="C102" s="321">
        <v>91</v>
      </c>
      <c r="D102" s="216">
        <f>SUM(D103:D106)</f>
        <v>23937</v>
      </c>
      <c r="E102" s="216">
        <f>SUM(E103:E106)</f>
        <v>52200</v>
      </c>
      <c r="F102" s="217">
        <f t="shared" si="1"/>
        <v>218.07244015540795</v>
      </c>
      <c r="G102" s="13"/>
    </row>
    <row r="103" spans="1:7" ht="14.1" customHeight="1" x14ac:dyDescent="0.25">
      <c r="A103" s="214">
        <v>6511</v>
      </c>
      <c r="B103" s="215" t="s">
        <v>4207</v>
      </c>
      <c r="C103" s="321">
        <v>92</v>
      </c>
      <c r="D103" s="218">
        <v>0</v>
      </c>
      <c r="E103" s="218">
        <v>0</v>
      </c>
      <c r="F103" s="217" t="str">
        <f t="shared" si="1"/>
        <v>-</v>
      </c>
      <c r="G103" s="13"/>
    </row>
    <row r="104" spans="1:7" ht="14.1" customHeight="1" x14ac:dyDescent="0.25">
      <c r="A104" s="214">
        <v>6512</v>
      </c>
      <c r="B104" s="215" t="s">
        <v>288</v>
      </c>
      <c r="C104" s="321">
        <v>93</v>
      </c>
      <c r="D104" s="218">
        <v>0</v>
      </c>
      <c r="E104" s="218">
        <v>0</v>
      </c>
      <c r="F104" s="217" t="str">
        <f t="shared" si="1"/>
        <v>-</v>
      </c>
      <c r="G104" s="13"/>
    </row>
    <row r="105" spans="1:7" ht="14.1" customHeight="1" x14ac:dyDescent="0.25">
      <c r="A105" s="214">
        <v>6513</v>
      </c>
      <c r="B105" s="215" t="s">
        <v>2676</v>
      </c>
      <c r="C105" s="321">
        <v>94</v>
      </c>
      <c r="D105" s="218">
        <v>0</v>
      </c>
      <c r="E105" s="218">
        <v>0</v>
      </c>
      <c r="F105" s="217" t="str">
        <f t="shared" si="1"/>
        <v>-</v>
      </c>
      <c r="G105" s="13"/>
    </row>
    <row r="106" spans="1:7" ht="14.1" customHeight="1" x14ac:dyDescent="0.25">
      <c r="A106" s="214">
        <v>6514</v>
      </c>
      <c r="B106" s="215" t="s">
        <v>2677</v>
      </c>
      <c r="C106" s="321">
        <v>95</v>
      </c>
      <c r="D106" s="218">
        <v>23937</v>
      </c>
      <c r="E106" s="218">
        <v>52200</v>
      </c>
      <c r="F106" s="217">
        <f t="shared" si="1"/>
        <v>218.07244015540795</v>
      </c>
      <c r="G106" s="13"/>
    </row>
    <row r="107" spans="1:7" ht="14.1" customHeight="1" x14ac:dyDescent="0.25">
      <c r="A107" s="214">
        <v>652</v>
      </c>
      <c r="B107" s="215" t="s">
        <v>2678</v>
      </c>
      <c r="C107" s="321">
        <v>96</v>
      </c>
      <c r="D107" s="216">
        <f>SUM(D108:D113)</f>
        <v>507930</v>
      </c>
      <c r="E107" s="216">
        <f>SUM(E108:E113)</f>
        <v>616959</v>
      </c>
      <c r="F107" s="217">
        <f t="shared" si="1"/>
        <v>121.46535939991732</v>
      </c>
      <c r="G107" s="13"/>
    </row>
    <row r="108" spans="1:7" ht="14.1" customHeight="1" x14ac:dyDescent="0.25">
      <c r="A108" s="214">
        <v>6521</v>
      </c>
      <c r="B108" s="215" t="s">
        <v>289</v>
      </c>
      <c r="C108" s="321">
        <v>97</v>
      </c>
      <c r="D108" s="218">
        <v>0</v>
      </c>
      <c r="E108" s="218">
        <v>0</v>
      </c>
      <c r="F108" s="217" t="str">
        <f t="shared" si="1"/>
        <v>-</v>
      </c>
      <c r="G108" s="13"/>
    </row>
    <row r="109" spans="1:7" ht="14.1" customHeight="1" x14ac:dyDescent="0.25">
      <c r="A109" s="214">
        <v>6522</v>
      </c>
      <c r="B109" s="215" t="s">
        <v>2679</v>
      </c>
      <c r="C109" s="321">
        <v>98</v>
      </c>
      <c r="D109" s="218">
        <v>4901</v>
      </c>
      <c r="E109" s="218">
        <v>9116</v>
      </c>
      <c r="F109" s="217">
        <f t="shared" si="1"/>
        <v>186.00285655988574</v>
      </c>
      <c r="G109" s="13"/>
    </row>
    <row r="110" spans="1:7" ht="14.1" customHeight="1" x14ac:dyDescent="0.25">
      <c r="A110" s="214">
        <v>6524</v>
      </c>
      <c r="B110" s="215" t="s">
        <v>302</v>
      </c>
      <c r="C110" s="321">
        <v>99</v>
      </c>
      <c r="D110" s="218">
        <v>496777</v>
      </c>
      <c r="E110" s="218">
        <v>597076</v>
      </c>
      <c r="F110" s="217">
        <f t="shared" si="1"/>
        <v>120.18994438148304</v>
      </c>
      <c r="G110" s="13"/>
    </row>
    <row r="111" spans="1:7" ht="14.1" customHeight="1" x14ac:dyDescent="0.25">
      <c r="A111" s="214">
        <v>6525</v>
      </c>
      <c r="B111" s="215" t="s">
        <v>303</v>
      </c>
      <c r="C111" s="321">
        <v>100</v>
      </c>
      <c r="D111" s="218">
        <v>0</v>
      </c>
      <c r="E111" s="218">
        <v>0</v>
      </c>
      <c r="F111" s="217" t="str">
        <f t="shared" si="1"/>
        <v>-</v>
      </c>
      <c r="G111" s="13"/>
    </row>
    <row r="112" spans="1:7" ht="14.1" customHeight="1" x14ac:dyDescent="0.25">
      <c r="A112" s="214">
        <v>6526</v>
      </c>
      <c r="B112" s="215" t="s">
        <v>304</v>
      </c>
      <c r="C112" s="321">
        <v>101</v>
      </c>
      <c r="D112" s="218">
        <v>6252</v>
      </c>
      <c r="E112" s="218">
        <v>10767</v>
      </c>
      <c r="F112" s="217">
        <f t="shared" si="1"/>
        <v>172.2168905950096</v>
      </c>
      <c r="G112" s="13"/>
    </row>
    <row r="113" spans="1:7" ht="14.1" customHeight="1" x14ac:dyDescent="0.25">
      <c r="A113" s="214">
        <v>6527</v>
      </c>
      <c r="B113" s="215" t="s">
        <v>2680</v>
      </c>
      <c r="C113" s="321">
        <v>102</v>
      </c>
      <c r="D113" s="218">
        <v>0</v>
      </c>
      <c r="E113" s="218">
        <v>0</v>
      </c>
      <c r="F113" s="217" t="str">
        <f t="shared" si="1"/>
        <v>-</v>
      </c>
      <c r="G113" s="13"/>
    </row>
    <row r="114" spans="1:7" ht="14.1" customHeight="1" x14ac:dyDescent="0.25">
      <c r="A114" s="214">
        <v>653</v>
      </c>
      <c r="B114" s="215" t="s">
        <v>2681</v>
      </c>
      <c r="C114" s="321">
        <v>103</v>
      </c>
      <c r="D114" s="216">
        <f>SUM(D115:D117)</f>
        <v>23841</v>
      </c>
      <c r="E114" s="216">
        <f>SUM(E115:E117)</f>
        <v>28513</v>
      </c>
      <c r="F114" s="217">
        <f t="shared" si="1"/>
        <v>119.59649343567804</v>
      </c>
      <c r="G114" s="13"/>
    </row>
    <row r="115" spans="1:7" ht="14.1" customHeight="1" x14ac:dyDescent="0.25">
      <c r="A115" s="214">
        <v>6531</v>
      </c>
      <c r="B115" s="215" t="s">
        <v>2682</v>
      </c>
      <c r="C115" s="321">
        <v>104</v>
      </c>
      <c r="D115" s="218">
        <v>18141</v>
      </c>
      <c r="E115" s="218">
        <v>28513</v>
      </c>
      <c r="F115" s="217">
        <f t="shared" si="1"/>
        <v>157.17435643018575</v>
      </c>
      <c r="G115" s="13"/>
    </row>
    <row r="116" spans="1:7" ht="14.1" customHeight="1" x14ac:dyDescent="0.25">
      <c r="A116" s="214">
        <v>6532</v>
      </c>
      <c r="B116" s="215" t="s">
        <v>2683</v>
      </c>
      <c r="C116" s="321">
        <v>105</v>
      </c>
      <c r="D116" s="218">
        <v>0</v>
      </c>
      <c r="E116" s="218">
        <v>0</v>
      </c>
      <c r="F116" s="217" t="str">
        <f t="shared" si="1"/>
        <v>-</v>
      </c>
      <c r="G116" s="13"/>
    </row>
    <row r="117" spans="1:7" ht="14.1" customHeight="1" x14ac:dyDescent="0.25">
      <c r="A117" s="214">
        <v>6533</v>
      </c>
      <c r="B117" s="215" t="s">
        <v>2684</v>
      </c>
      <c r="C117" s="321">
        <v>106</v>
      </c>
      <c r="D117" s="218">
        <v>5700</v>
      </c>
      <c r="E117" s="218">
        <v>0</v>
      </c>
      <c r="F117" s="217">
        <f t="shared" si="1"/>
        <v>0</v>
      </c>
      <c r="G117" s="13"/>
    </row>
    <row r="118" spans="1:7" ht="14.1" customHeight="1" x14ac:dyDescent="0.25">
      <c r="A118" s="214">
        <v>66</v>
      </c>
      <c r="B118" s="219" t="s">
        <v>2685</v>
      </c>
      <c r="C118" s="321">
        <v>107</v>
      </c>
      <c r="D118" s="216">
        <f>D119+D122</f>
        <v>0</v>
      </c>
      <c r="E118" s="216">
        <f>E119+E122</f>
        <v>0</v>
      </c>
      <c r="F118" s="217" t="str">
        <f t="shared" si="1"/>
        <v>-</v>
      </c>
      <c r="G118" s="13"/>
    </row>
    <row r="119" spans="1:7" ht="14.1" customHeight="1" x14ac:dyDescent="0.25">
      <c r="A119" s="214">
        <v>661</v>
      </c>
      <c r="B119" s="215" t="s">
        <v>2686</v>
      </c>
      <c r="C119" s="321">
        <v>108</v>
      </c>
      <c r="D119" s="216">
        <f>D120+D121</f>
        <v>0</v>
      </c>
      <c r="E119" s="216">
        <f>E120+E121</f>
        <v>0</v>
      </c>
      <c r="F119" s="217" t="str">
        <f t="shared" si="1"/>
        <v>-</v>
      </c>
      <c r="G119" s="13"/>
    </row>
    <row r="120" spans="1:7" ht="14.1" customHeight="1" x14ac:dyDescent="0.25">
      <c r="A120" s="214">
        <v>6614</v>
      </c>
      <c r="B120" s="215" t="s">
        <v>2687</v>
      </c>
      <c r="C120" s="321">
        <v>109</v>
      </c>
      <c r="D120" s="218">
        <v>0</v>
      </c>
      <c r="E120" s="218">
        <v>0</v>
      </c>
      <c r="F120" s="217" t="str">
        <f t="shared" si="1"/>
        <v>-</v>
      </c>
      <c r="G120" s="13"/>
    </row>
    <row r="121" spans="1:7" ht="14.1" customHeight="1" x14ac:dyDescent="0.25">
      <c r="A121" s="214">
        <v>6615</v>
      </c>
      <c r="B121" s="215" t="s">
        <v>2688</v>
      </c>
      <c r="C121" s="321">
        <v>110</v>
      </c>
      <c r="D121" s="218">
        <v>0</v>
      </c>
      <c r="E121" s="218">
        <v>0</v>
      </c>
      <c r="F121" s="217" t="str">
        <f t="shared" si="1"/>
        <v>-</v>
      </c>
      <c r="G121" s="13"/>
    </row>
    <row r="122" spans="1:7" ht="14.1" customHeight="1" x14ac:dyDescent="0.25">
      <c r="A122" s="214">
        <v>663</v>
      </c>
      <c r="B122" s="219" t="s">
        <v>2689</v>
      </c>
      <c r="C122" s="321">
        <v>111</v>
      </c>
      <c r="D122" s="216">
        <f>D123+D124</f>
        <v>0</v>
      </c>
      <c r="E122" s="216">
        <f>E123+E124</f>
        <v>0</v>
      </c>
      <c r="F122" s="217" t="str">
        <f t="shared" si="1"/>
        <v>-</v>
      </c>
      <c r="G122" s="13"/>
    </row>
    <row r="123" spans="1:7" ht="14.1" customHeight="1" x14ac:dyDescent="0.25">
      <c r="A123" s="214">
        <v>6631</v>
      </c>
      <c r="B123" s="215" t="s">
        <v>312</v>
      </c>
      <c r="C123" s="321">
        <v>112</v>
      </c>
      <c r="D123" s="218">
        <v>0</v>
      </c>
      <c r="E123" s="218">
        <v>0</v>
      </c>
      <c r="F123" s="217" t="str">
        <f t="shared" si="1"/>
        <v>-</v>
      </c>
      <c r="G123" s="13"/>
    </row>
    <row r="124" spans="1:7" ht="14.1" customHeight="1" x14ac:dyDescent="0.25">
      <c r="A124" s="214">
        <v>6632</v>
      </c>
      <c r="B124" s="219" t="s">
        <v>313</v>
      </c>
      <c r="C124" s="321">
        <v>113</v>
      </c>
      <c r="D124" s="218">
        <v>0</v>
      </c>
      <c r="E124" s="218">
        <v>0</v>
      </c>
      <c r="F124" s="217" t="str">
        <f t="shared" si="1"/>
        <v>-</v>
      </c>
      <c r="G124" s="13"/>
    </row>
    <row r="125" spans="1:7" ht="14.1" customHeight="1" x14ac:dyDescent="0.25">
      <c r="A125" s="214">
        <v>67</v>
      </c>
      <c r="B125" s="215" t="s">
        <v>2690</v>
      </c>
      <c r="C125" s="321">
        <v>114</v>
      </c>
      <c r="D125" s="216">
        <f>D126</f>
        <v>0</v>
      </c>
      <c r="E125" s="216">
        <f>E126</f>
        <v>0</v>
      </c>
      <c r="F125" s="217" t="str">
        <f t="shared" si="1"/>
        <v>-</v>
      </c>
      <c r="G125" s="13"/>
    </row>
    <row r="126" spans="1:7" ht="14.1" customHeight="1" x14ac:dyDescent="0.25">
      <c r="A126" s="214">
        <v>671</v>
      </c>
      <c r="B126" s="219" t="s">
        <v>2691</v>
      </c>
      <c r="C126" s="321">
        <v>115</v>
      </c>
      <c r="D126" s="216">
        <f>SUM(D127:D129)</f>
        <v>0</v>
      </c>
      <c r="E126" s="216">
        <f>SUM(E127:E129)</f>
        <v>0</v>
      </c>
      <c r="F126" s="217" t="str">
        <f t="shared" si="1"/>
        <v>-</v>
      </c>
      <c r="G126" s="13"/>
    </row>
    <row r="127" spans="1:7" ht="14.1" customHeight="1" x14ac:dyDescent="0.25">
      <c r="A127" s="214">
        <v>6711</v>
      </c>
      <c r="B127" s="215" t="s">
        <v>450</v>
      </c>
      <c r="C127" s="321">
        <v>116</v>
      </c>
      <c r="D127" s="218">
        <v>0</v>
      </c>
      <c r="E127" s="218">
        <v>0</v>
      </c>
      <c r="F127" s="217" t="str">
        <f t="shared" si="1"/>
        <v>-</v>
      </c>
      <c r="G127" s="13"/>
    </row>
    <row r="128" spans="1:7" ht="14.1" customHeight="1" x14ac:dyDescent="0.25">
      <c r="A128" s="214">
        <v>6712</v>
      </c>
      <c r="B128" s="215" t="s">
        <v>2692</v>
      </c>
      <c r="C128" s="321">
        <v>117</v>
      </c>
      <c r="D128" s="218">
        <v>0</v>
      </c>
      <c r="E128" s="218">
        <v>0</v>
      </c>
      <c r="F128" s="217" t="str">
        <f t="shared" si="1"/>
        <v>-</v>
      </c>
      <c r="G128" s="13"/>
    </row>
    <row r="129" spans="1:7" ht="14.1" customHeight="1" x14ac:dyDescent="0.25">
      <c r="A129" s="214">
        <v>6713</v>
      </c>
      <c r="B129" s="215" t="s">
        <v>2693</v>
      </c>
      <c r="C129" s="321">
        <v>118</v>
      </c>
      <c r="D129" s="218">
        <v>0</v>
      </c>
      <c r="E129" s="218">
        <v>0</v>
      </c>
      <c r="F129" s="217" t="str">
        <f t="shared" si="1"/>
        <v>-</v>
      </c>
      <c r="G129" s="13"/>
    </row>
    <row r="130" spans="1:7" ht="14.1" customHeight="1" x14ac:dyDescent="0.25">
      <c r="A130" s="214">
        <v>68</v>
      </c>
      <c r="B130" s="215" t="s">
        <v>2694</v>
      </c>
      <c r="C130" s="321">
        <v>119</v>
      </c>
      <c r="D130" s="216">
        <f>D131+D141</f>
        <v>0</v>
      </c>
      <c r="E130" s="216">
        <f>E131+E141</f>
        <v>0</v>
      </c>
      <c r="F130" s="217" t="str">
        <f t="shared" si="1"/>
        <v>-</v>
      </c>
      <c r="G130" s="13"/>
    </row>
    <row r="131" spans="1:7" ht="14.1" customHeight="1" x14ac:dyDescent="0.25">
      <c r="A131" s="214">
        <v>681</v>
      </c>
      <c r="B131" s="215" t="s">
        <v>2695</v>
      </c>
      <c r="C131" s="321">
        <v>120</v>
      </c>
      <c r="D131" s="216">
        <f>SUM(D132:D140)</f>
        <v>0</v>
      </c>
      <c r="E131" s="216">
        <f>SUM(E132:E140)</f>
        <v>0</v>
      </c>
      <c r="F131" s="217" t="str">
        <f t="shared" si="1"/>
        <v>-</v>
      </c>
      <c r="G131" s="13"/>
    </row>
    <row r="132" spans="1:7" ht="14.1" customHeight="1" x14ac:dyDescent="0.25">
      <c r="A132" s="214">
        <v>6811</v>
      </c>
      <c r="B132" s="215" t="s">
        <v>2696</v>
      </c>
      <c r="C132" s="321">
        <v>121</v>
      </c>
      <c r="D132" s="218">
        <v>0</v>
      </c>
      <c r="E132" s="218">
        <v>0</v>
      </c>
      <c r="F132" s="217" t="str">
        <f t="shared" si="1"/>
        <v>-</v>
      </c>
      <c r="G132" s="13"/>
    </row>
    <row r="133" spans="1:7" ht="14.1" customHeight="1" x14ac:dyDescent="0.25">
      <c r="A133" s="214">
        <v>6812</v>
      </c>
      <c r="B133" s="215" t="s">
        <v>310</v>
      </c>
      <c r="C133" s="321">
        <v>122</v>
      </c>
      <c r="D133" s="218">
        <v>0</v>
      </c>
      <c r="E133" s="218">
        <v>0</v>
      </c>
      <c r="F133" s="217" t="str">
        <f t="shared" si="1"/>
        <v>-</v>
      </c>
      <c r="G133" s="13"/>
    </row>
    <row r="134" spans="1:7" ht="14.1" customHeight="1" x14ac:dyDescent="0.25">
      <c r="A134" s="214">
        <v>6813</v>
      </c>
      <c r="B134" s="215" t="s">
        <v>2697</v>
      </c>
      <c r="C134" s="321">
        <v>123</v>
      </c>
      <c r="D134" s="218">
        <v>0</v>
      </c>
      <c r="E134" s="218">
        <v>0</v>
      </c>
      <c r="F134" s="217" t="str">
        <f t="shared" si="1"/>
        <v>-</v>
      </c>
      <c r="G134" s="13"/>
    </row>
    <row r="135" spans="1:7" ht="14.1" customHeight="1" x14ac:dyDescent="0.25">
      <c r="A135" s="214">
        <v>6814</v>
      </c>
      <c r="B135" s="215" t="s">
        <v>2698</v>
      </c>
      <c r="C135" s="321">
        <v>124</v>
      </c>
      <c r="D135" s="218">
        <v>0</v>
      </c>
      <c r="E135" s="218">
        <v>0</v>
      </c>
      <c r="F135" s="217" t="str">
        <f t="shared" si="1"/>
        <v>-</v>
      </c>
      <c r="G135" s="13"/>
    </row>
    <row r="136" spans="1:7" ht="14.1" customHeight="1" x14ac:dyDescent="0.25">
      <c r="A136" s="214">
        <v>6815</v>
      </c>
      <c r="B136" s="215" t="s">
        <v>2699</v>
      </c>
      <c r="C136" s="321">
        <v>125</v>
      </c>
      <c r="D136" s="218">
        <v>0</v>
      </c>
      <c r="E136" s="218">
        <v>0</v>
      </c>
      <c r="F136" s="217" t="str">
        <f t="shared" si="1"/>
        <v>-</v>
      </c>
      <c r="G136" s="13"/>
    </row>
    <row r="137" spans="1:7" ht="14.1" customHeight="1" x14ac:dyDescent="0.25">
      <c r="A137" s="214">
        <v>6816</v>
      </c>
      <c r="B137" s="215" t="s">
        <v>2700</v>
      </c>
      <c r="C137" s="321">
        <v>126</v>
      </c>
      <c r="D137" s="218">
        <v>0</v>
      </c>
      <c r="E137" s="218">
        <v>0</v>
      </c>
      <c r="F137" s="217" t="str">
        <f t="shared" si="1"/>
        <v>-</v>
      </c>
      <c r="G137" s="13"/>
    </row>
    <row r="138" spans="1:7" ht="14.1" customHeight="1" x14ac:dyDescent="0.25">
      <c r="A138" s="214">
        <v>6817</v>
      </c>
      <c r="B138" s="215" t="s">
        <v>2701</v>
      </c>
      <c r="C138" s="321">
        <v>127</v>
      </c>
      <c r="D138" s="218">
        <v>0</v>
      </c>
      <c r="E138" s="218">
        <v>0</v>
      </c>
      <c r="F138" s="217" t="str">
        <f t="shared" si="1"/>
        <v>-</v>
      </c>
      <c r="G138" s="13"/>
    </row>
    <row r="139" spans="1:7" ht="14.1" customHeight="1" x14ac:dyDescent="0.25">
      <c r="A139" s="214">
        <v>6818</v>
      </c>
      <c r="B139" s="215" t="s">
        <v>2702</v>
      </c>
      <c r="C139" s="321">
        <v>128</v>
      </c>
      <c r="D139" s="218">
        <v>0</v>
      </c>
      <c r="E139" s="218">
        <v>0</v>
      </c>
      <c r="F139" s="217" t="str">
        <f t="shared" si="1"/>
        <v>-</v>
      </c>
      <c r="G139" s="13"/>
    </row>
    <row r="140" spans="1:7" ht="14.1" customHeight="1" x14ac:dyDescent="0.25">
      <c r="A140" s="214">
        <v>6819</v>
      </c>
      <c r="B140" s="215" t="s">
        <v>311</v>
      </c>
      <c r="C140" s="321">
        <v>129</v>
      </c>
      <c r="D140" s="218">
        <v>0</v>
      </c>
      <c r="E140" s="218">
        <v>0</v>
      </c>
      <c r="F140" s="217" t="str">
        <f t="shared" si="1"/>
        <v>-</v>
      </c>
      <c r="G140" s="13"/>
    </row>
    <row r="141" spans="1:7" ht="14.1" customHeight="1" x14ac:dyDescent="0.25">
      <c r="A141" s="214">
        <v>683</v>
      </c>
      <c r="B141" s="215" t="s">
        <v>2703</v>
      </c>
      <c r="C141" s="321">
        <v>130</v>
      </c>
      <c r="D141" s="216">
        <f>D142</f>
        <v>0</v>
      </c>
      <c r="E141" s="216">
        <f>E142</f>
        <v>0</v>
      </c>
      <c r="F141" s="217" t="str">
        <f t="shared" ref="F141:F204" si="2">IF(D141&gt;0,IF(E141/D141&gt;=100,"&gt;&gt;100",E141/D141*100),"-")</f>
        <v>-</v>
      </c>
      <c r="G141" s="13"/>
    </row>
    <row r="142" spans="1:7" ht="14.1" customHeight="1" x14ac:dyDescent="0.25">
      <c r="A142" s="214">
        <v>6831</v>
      </c>
      <c r="B142" s="215" t="s">
        <v>2704</v>
      </c>
      <c r="C142" s="321">
        <v>131</v>
      </c>
      <c r="D142" s="218">
        <v>0</v>
      </c>
      <c r="E142" s="218">
        <v>0</v>
      </c>
      <c r="F142" s="217" t="str">
        <f t="shared" si="2"/>
        <v>-</v>
      </c>
      <c r="G142" s="13"/>
    </row>
    <row r="143" spans="1:7" ht="14.1" customHeight="1" x14ac:dyDescent="0.25">
      <c r="A143" s="214">
        <v>3</v>
      </c>
      <c r="B143" s="215" t="s">
        <v>2705</v>
      </c>
      <c r="C143" s="321">
        <v>132</v>
      </c>
      <c r="D143" s="216">
        <f>D144+D156+D189+D208+D216+D228+D235</f>
        <v>2931186</v>
      </c>
      <c r="E143" s="216">
        <f>E144+E156+E189+E208+E216+E228+E235</f>
        <v>3252410</v>
      </c>
      <c r="F143" s="217">
        <f t="shared" si="2"/>
        <v>110.95884055123079</v>
      </c>
      <c r="G143" s="13"/>
    </row>
    <row r="144" spans="1:7" ht="14.1" customHeight="1" x14ac:dyDescent="0.25">
      <c r="A144" s="214">
        <v>31</v>
      </c>
      <c r="B144" s="215" t="s">
        <v>2706</v>
      </c>
      <c r="C144" s="321">
        <v>133</v>
      </c>
      <c r="D144" s="216">
        <f>D145+D150+D152</f>
        <v>371587</v>
      </c>
      <c r="E144" s="216">
        <f>E145+E150+E152</f>
        <v>377062</v>
      </c>
      <c r="F144" s="217">
        <f t="shared" si="2"/>
        <v>101.47340999550576</v>
      </c>
      <c r="G144" s="13"/>
    </row>
    <row r="145" spans="1:7" ht="14.1" customHeight="1" x14ac:dyDescent="0.25">
      <c r="A145" s="214">
        <v>311</v>
      </c>
      <c r="B145" s="215" t="s">
        <v>2707</v>
      </c>
      <c r="C145" s="321">
        <v>134</v>
      </c>
      <c r="D145" s="216">
        <f>SUM(D146:D149)</f>
        <v>312315</v>
      </c>
      <c r="E145" s="216">
        <f>SUM(E146:E149)</f>
        <v>309172</v>
      </c>
      <c r="F145" s="217">
        <f t="shared" si="2"/>
        <v>98.993644237388537</v>
      </c>
      <c r="G145" s="13"/>
    </row>
    <row r="146" spans="1:7" ht="14.1" customHeight="1" x14ac:dyDescent="0.25">
      <c r="A146" s="214">
        <v>3111</v>
      </c>
      <c r="B146" s="215" t="s">
        <v>2389</v>
      </c>
      <c r="C146" s="321">
        <v>135</v>
      </c>
      <c r="D146" s="218">
        <v>310876</v>
      </c>
      <c r="E146" s="218">
        <v>308342</v>
      </c>
      <c r="F146" s="217">
        <f t="shared" si="2"/>
        <v>99.184884005198214</v>
      </c>
      <c r="G146" s="13"/>
    </row>
    <row r="147" spans="1:7" ht="14.1" customHeight="1" x14ac:dyDescent="0.25">
      <c r="A147" s="214">
        <v>3112</v>
      </c>
      <c r="B147" s="215" t="s">
        <v>2390</v>
      </c>
      <c r="C147" s="321">
        <v>136</v>
      </c>
      <c r="D147" s="218">
        <v>0</v>
      </c>
      <c r="E147" s="218">
        <v>0</v>
      </c>
      <c r="F147" s="217" t="str">
        <f t="shared" si="2"/>
        <v>-</v>
      </c>
      <c r="G147" s="13"/>
    </row>
    <row r="148" spans="1:7" ht="14.1" customHeight="1" x14ac:dyDescent="0.25">
      <c r="A148" s="214">
        <v>3113</v>
      </c>
      <c r="B148" s="215" t="s">
        <v>2391</v>
      </c>
      <c r="C148" s="321">
        <v>137</v>
      </c>
      <c r="D148" s="218">
        <v>1439</v>
      </c>
      <c r="E148" s="218">
        <v>830</v>
      </c>
      <c r="F148" s="217">
        <f t="shared" si="2"/>
        <v>57.67894371091036</v>
      </c>
      <c r="G148" s="13"/>
    </row>
    <row r="149" spans="1:7" ht="14.1" customHeight="1" x14ac:dyDescent="0.25">
      <c r="A149" s="214">
        <v>3114</v>
      </c>
      <c r="B149" s="215" t="s">
        <v>2392</v>
      </c>
      <c r="C149" s="321">
        <v>138</v>
      </c>
      <c r="D149" s="218">
        <v>0</v>
      </c>
      <c r="E149" s="218">
        <v>0</v>
      </c>
      <c r="F149" s="217" t="str">
        <f t="shared" si="2"/>
        <v>-</v>
      </c>
      <c r="G149" s="13"/>
    </row>
    <row r="150" spans="1:7" ht="14.1" customHeight="1" x14ac:dyDescent="0.25">
      <c r="A150" s="214">
        <v>312</v>
      </c>
      <c r="B150" s="215" t="s">
        <v>2708</v>
      </c>
      <c r="C150" s="321">
        <v>139</v>
      </c>
      <c r="D150" s="216">
        <f>D151</f>
        <v>11800</v>
      </c>
      <c r="E150" s="216">
        <f>E151</f>
        <v>16800</v>
      </c>
      <c r="F150" s="217">
        <f t="shared" si="2"/>
        <v>142.37288135593221</v>
      </c>
      <c r="G150" s="13"/>
    </row>
    <row r="151" spans="1:7" ht="14.1" customHeight="1" x14ac:dyDescent="0.25">
      <c r="A151" s="214">
        <v>3121</v>
      </c>
      <c r="B151" s="215" t="s">
        <v>2394</v>
      </c>
      <c r="C151" s="321">
        <v>140</v>
      </c>
      <c r="D151" s="218">
        <v>11800</v>
      </c>
      <c r="E151" s="218">
        <v>16800</v>
      </c>
      <c r="F151" s="217">
        <f t="shared" si="2"/>
        <v>142.37288135593221</v>
      </c>
      <c r="G151" s="13"/>
    </row>
    <row r="152" spans="1:7" ht="14.1" customHeight="1" x14ac:dyDescent="0.25">
      <c r="A152" s="214">
        <v>313</v>
      </c>
      <c r="B152" s="215" t="s">
        <v>2709</v>
      </c>
      <c r="C152" s="321">
        <v>141</v>
      </c>
      <c r="D152" s="216">
        <f>SUM(D153:D155)</f>
        <v>47472</v>
      </c>
      <c r="E152" s="216">
        <f>SUM(E153:E155)</f>
        <v>51090</v>
      </c>
      <c r="F152" s="217">
        <f t="shared" si="2"/>
        <v>107.62133468149646</v>
      </c>
      <c r="G152" s="13"/>
    </row>
    <row r="153" spans="1:7" ht="14.1" customHeight="1" x14ac:dyDescent="0.25">
      <c r="A153" s="214">
        <v>3131</v>
      </c>
      <c r="B153" s="215" t="s">
        <v>290</v>
      </c>
      <c r="C153" s="321">
        <v>142</v>
      </c>
      <c r="D153" s="218">
        <v>0</v>
      </c>
      <c r="E153" s="218">
        <v>0</v>
      </c>
      <c r="F153" s="217" t="str">
        <f t="shared" si="2"/>
        <v>-</v>
      </c>
      <c r="G153" s="13"/>
    </row>
    <row r="154" spans="1:7" ht="14.1" customHeight="1" x14ac:dyDescent="0.25">
      <c r="A154" s="214">
        <v>3132</v>
      </c>
      <c r="B154" s="215" t="s">
        <v>2710</v>
      </c>
      <c r="C154" s="321">
        <v>143</v>
      </c>
      <c r="D154" s="218">
        <v>42163</v>
      </c>
      <c r="E154" s="218">
        <v>45919</v>
      </c>
      <c r="F154" s="217">
        <f t="shared" si="2"/>
        <v>108.90828451485901</v>
      </c>
      <c r="G154" s="13"/>
    </row>
    <row r="155" spans="1:7" ht="14.1" customHeight="1" x14ac:dyDescent="0.25">
      <c r="A155" s="214">
        <v>3133</v>
      </c>
      <c r="B155" s="215" t="s">
        <v>1492</v>
      </c>
      <c r="C155" s="321">
        <v>144</v>
      </c>
      <c r="D155" s="218">
        <v>5309</v>
      </c>
      <c r="E155" s="218">
        <v>5171</v>
      </c>
      <c r="F155" s="217">
        <f t="shared" si="2"/>
        <v>97.400640421925033</v>
      </c>
      <c r="G155" s="13"/>
    </row>
    <row r="156" spans="1:7" ht="14.1" customHeight="1" x14ac:dyDescent="0.25">
      <c r="A156" s="214">
        <v>32</v>
      </c>
      <c r="B156" s="215" t="s">
        <v>2711</v>
      </c>
      <c r="C156" s="321">
        <v>145</v>
      </c>
      <c r="D156" s="216">
        <f>D157+D162+D170+D180+D182</f>
        <v>1418062</v>
      </c>
      <c r="E156" s="216">
        <f>E157+E162+E170+E180+E182</f>
        <v>946473</v>
      </c>
      <c r="F156" s="217">
        <f t="shared" si="2"/>
        <v>66.744119791659315</v>
      </c>
      <c r="G156" s="13"/>
    </row>
    <row r="157" spans="1:7" ht="14.1" customHeight="1" x14ac:dyDescent="0.25">
      <c r="A157" s="214">
        <v>321</v>
      </c>
      <c r="B157" s="215" t="s">
        <v>2712</v>
      </c>
      <c r="C157" s="321">
        <v>146</v>
      </c>
      <c r="D157" s="216">
        <f>SUM(D158:D161)</f>
        <v>66319</v>
      </c>
      <c r="E157" s="216">
        <f>SUM(E158:E161)</f>
        <v>58695</v>
      </c>
      <c r="F157" s="217">
        <f t="shared" si="2"/>
        <v>88.504048613519501</v>
      </c>
      <c r="G157" s="13"/>
    </row>
    <row r="158" spans="1:7" ht="14.1" customHeight="1" x14ac:dyDescent="0.25">
      <c r="A158" s="214">
        <v>3211</v>
      </c>
      <c r="B158" s="215" t="s">
        <v>2398</v>
      </c>
      <c r="C158" s="321">
        <v>147</v>
      </c>
      <c r="D158" s="218">
        <v>3195</v>
      </c>
      <c r="E158" s="218">
        <v>1691</v>
      </c>
      <c r="F158" s="217">
        <f t="shared" si="2"/>
        <v>52.926447574334901</v>
      </c>
      <c r="G158" s="13"/>
    </row>
    <row r="159" spans="1:7" ht="14.1" customHeight="1" x14ac:dyDescent="0.25">
      <c r="A159" s="214">
        <v>3212</v>
      </c>
      <c r="B159" s="215" t="s">
        <v>161</v>
      </c>
      <c r="C159" s="321">
        <v>148</v>
      </c>
      <c r="D159" s="218">
        <v>61874</v>
      </c>
      <c r="E159" s="218">
        <v>57004</v>
      </c>
      <c r="F159" s="217">
        <f t="shared" si="2"/>
        <v>92.12916572389048</v>
      </c>
      <c r="G159" s="13"/>
    </row>
    <row r="160" spans="1:7" ht="14.1" customHeight="1" x14ac:dyDescent="0.25">
      <c r="A160" s="214">
        <v>3213</v>
      </c>
      <c r="B160" s="215" t="s">
        <v>163</v>
      </c>
      <c r="C160" s="321">
        <v>149</v>
      </c>
      <c r="D160" s="218">
        <v>1250</v>
      </c>
      <c r="E160" s="218">
        <v>0</v>
      </c>
      <c r="F160" s="217">
        <f t="shared" si="2"/>
        <v>0</v>
      </c>
      <c r="G160" s="13"/>
    </row>
    <row r="161" spans="1:7" ht="14.1" customHeight="1" x14ac:dyDescent="0.25">
      <c r="A161" s="214">
        <v>3214</v>
      </c>
      <c r="B161" s="215" t="s">
        <v>2713</v>
      </c>
      <c r="C161" s="321">
        <v>150</v>
      </c>
      <c r="D161" s="218">
        <v>0</v>
      </c>
      <c r="E161" s="218">
        <v>0</v>
      </c>
      <c r="F161" s="217" t="str">
        <f t="shared" si="2"/>
        <v>-</v>
      </c>
      <c r="G161" s="13"/>
    </row>
    <row r="162" spans="1:7" ht="14.1" customHeight="1" x14ac:dyDescent="0.25">
      <c r="A162" s="214">
        <v>322</v>
      </c>
      <c r="B162" s="215" t="s">
        <v>2714</v>
      </c>
      <c r="C162" s="321">
        <v>151</v>
      </c>
      <c r="D162" s="216">
        <f>SUM(D163:D169)</f>
        <v>261192</v>
      </c>
      <c r="E162" s="216">
        <f>SUM(E163:E169)</f>
        <v>250122</v>
      </c>
      <c r="F162" s="217">
        <f t="shared" si="2"/>
        <v>95.761738491224847</v>
      </c>
      <c r="G162" s="13"/>
    </row>
    <row r="163" spans="1:7" ht="14.1" customHeight="1" x14ac:dyDescent="0.25">
      <c r="A163" s="214">
        <v>3221</v>
      </c>
      <c r="B163" s="215" t="s">
        <v>165</v>
      </c>
      <c r="C163" s="321">
        <v>152</v>
      </c>
      <c r="D163" s="218">
        <v>23784</v>
      </c>
      <c r="E163" s="218">
        <v>11207</v>
      </c>
      <c r="F163" s="217">
        <f t="shared" si="2"/>
        <v>47.11991254624958</v>
      </c>
      <c r="G163" s="13"/>
    </row>
    <row r="164" spans="1:7" ht="14.1" customHeight="1" x14ac:dyDescent="0.25">
      <c r="A164" s="214">
        <v>3222</v>
      </c>
      <c r="B164" s="215" t="s">
        <v>167</v>
      </c>
      <c r="C164" s="321">
        <v>153</v>
      </c>
      <c r="D164" s="218">
        <v>0</v>
      </c>
      <c r="E164" s="218">
        <v>0</v>
      </c>
      <c r="F164" s="217" t="str">
        <f t="shared" si="2"/>
        <v>-</v>
      </c>
      <c r="G164" s="13"/>
    </row>
    <row r="165" spans="1:7" ht="14.1" customHeight="1" x14ac:dyDescent="0.25">
      <c r="A165" s="214">
        <v>3223</v>
      </c>
      <c r="B165" s="215" t="s">
        <v>169</v>
      </c>
      <c r="C165" s="321">
        <v>154</v>
      </c>
      <c r="D165" s="218">
        <v>181504</v>
      </c>
      <c r="E165" s="218">
        <v>202915</v>
      </c>
      <c r="F165" s="217">
        <f t="shared" si="2"/>
        <v>111.7964342383639</v>
      </c>
      <c r="G165" s="13"/>
    </row>
    <row r="166" spans="1:7" ht="14.1" customHeight="1" x14ac:dyDescent="0.25">
      <c r="A166" s="214">
        <v>3224</v>
      </c>
      <c r="B166" s="215" t="s">
        <v>292</v>
      </c>
      <c r="C166" s="321">
        <v>155</v>
      </c>
      <c r="D166" s="218">
        <v>51508</v>
      </c>
      <c r="E166" s="218">
        <v>33868</v>
      </c>
      <c r="F166" s="217">
        <f t="shared" si="2"/>
        <v>65.752892754523572</v>
      </c>
      <c r="G166" s="13"/>
    </row>
    <row r="167" spans="1:7" ht="14.1" customHeight="1" x14ac:dyDescent="0.25">
      <c r="A167" s="214">
        <v>3225</v>
      </c>
      <c r="B167" s="215" t="s">
        <v>3090</v>
      </c>
      <c r="C167" s="321">
        <v>156</v>
      </c>
      <c r="D167" s="218">
        <v>4396</v>
      </c>
      <c r="E167" s="218">
        <v>2132</v>
      </c>
      <c r="F167" s="217">
        <f t="shared" si="2"/>
        <v>48.498635122838948</v>
      </c>
      <c r="G167" s="13"/>
    </row>
    <row r="168" spans="1:7" ht="14.1" customHeight="1" x14ac:dyDescent="0.25">
      <c r="A168" s="214">
        <v>3226</v>
      </c>
      <c r="B168" s="215" t="s">
        <v>3092</v>
      </c>
      <c r="C168" s="321">
        <v>157</v>
      </c>
      <c r="D168" s="218">
        <v>0</v>
      </c>
      <c r="E168" s="218">
        <v>0</v>
      </c>
      <c r="F168" s="217" t="str">
        <f t="shared" si="2"/>
        <v>-</v>
      </c>
      <c r="G168" s="13"/>
    </row>
    <row r="169" spans="1:7" ht="14.1" customHeight="1" x14ac:dyDescent="0.25">
      <c r="A169" s="214">
        <v>3227</v>
      </c>
      <c r="B169" s="215" t="s">
        <v>2715</v>
      </c>
      <c r="C169" s="321">
        <v>158</v>
      </c>
      <c r="D169" s="218">
        <v>0</v>
      </c>
      <c r="E169" s="218">
        <v>0</v>
      </c>
      <c r="F169" s="217" t="str">
        <f t="shared" si="2"/>
        <v>-</v>
      </c>
      <c r="G169" s="13"/>
    </row>
    <row r="170" spans="1:7" ht="14.1" customHeight="1" x14ac:dyDescent="0.25">
      <c r="A170" s="214">
        <v>323</v>
      </c>
      <c r="B170" s="215" t="s">
        <v>2716</v>
      </c>
      <c r="C170" s="321">
        <v>159</v>
      </c>
      <c r="D170" s="216">
        <f>SUM(D171:D179)</f>
        <v>608866</v>
      </c>
      <c r="E170" s="216">
        <f>SUM(E171:E179)</f>
        <v>433534</v>
      </c>
      <c r="F170" s="217">
        <f t="shared" si="2"/>
        <v>71.203516044581235</v>
      </c>
      <c r="G170" s="13"/>
    </row>
    <row r="171" spans="1:7" ht="14.1" customHeight="1" x14ac:dyDescent="0.25">
      <c r="A171" s="214">
        <v>3231</v>
      </c>
      <c r="B171" s="215" t="s">
        <v>1470</v>
      </c>
      <c r="C171" s="321">
        <v>160</v>
      </c>
      <c r="D171" s="218">
        <v>13256</v>
      </c>
      <c r="E171" s="218">
        <v>11882</v>
      </c>
      <c r="F171" s="217">
        <f t="shared" si="2"/>
        <v>89.634882317441154</v>
      </c>
      <c r="G171" s="13"/>
    </row>
    <row r="172" spans="1:7" ht="14.1" customHeight="1" x14ac:dyDescent="0.25">
      <c r="A172" s="214">
        <v>3232</v>
      </c>
      <c r="B172" s="215" t="s">
        <v>1471</v>
      </c>
      <c r="C172" s="321">
        <v>161</v>
      </c>
      <c r="D172" s="218">
        <v>434358</v>
      </c>
      <c r="E172" s="218">
        <v>316136</v>
      </c>
      <c r="F172" s="217">
        <f t="shared" si="2"/>
        <v>72.782359252045552</v>
      </c>
      <c r="G172" s="13"/>
    </row>
    <row r="173" spans="1:7" ht="14.1" customHeight="1" x14ac:dyDescent="0.25">
      <c r="A173" s="214">
        <v>3233</v>
      </c>
      <c r="B173" s="215" t="s">
        <v>1472</v>
      </c>
      <c r="C173" s="321">
        <v>162</v>
      </c>
      <c r="D173" s="218">
        <v>4513</v>
      </c>
      <c r="E173" s="218">
        <v>4063</v>
      </c>
      <c r="F173" s="217">
        <f t="shared" si="2"/>
        <v>90.028805672501662</v>
      </c>
      <c r="G173" s="13"/>
    </row>
    <row r="174" spans="1:7" ht="14.1" customHeight="1" x14ac:dyDescent="0.25">
      <c r="A174" s="214">
        <v>3234</v>
      </c>
      <c r="B174" s="215" t="s">
        <v>1473</v>
      </c>
      <c r="C174" s="321">
        <v>163</v>
      </c>
      <c r="D174" s="218">
        <v>43364</v>
      </c>
      <c r="E174" s="218">
        <v>34779</v>
      </c>
      <c r="F174" s="217">
        <f t="shared" si="2"/>
        <v>80.20247209667005</v>
      </c>
      <c r="G174" s="13"/>
    </row>
    <row r="175" spans="1:7" ht="14.1" customHeight="1" x14ac:dyDescent="0.25">
      <c r="A175" s="214">
        <v>3235</v>
      </c>
      <c r="B175" s="215" t="s">
        <v>1474</v>
      </c>
      <c r="C175" s="321">
        <v>164</v>
      </c>
      <c r="D175" s="218">
        <v>0</v>
      </c>
      <c r="E175" s="218">
        <v>0</v>
      </c>
      <c r="F175" s="217" t="str">
        <f t="shared" si="2"/>
        <v>-</v>
      </c>
      <c r="G175" s="13"/>
    </row>
    <row r="176" spans="1:7" ht="14.1" customHeight="1" x14ac:dyDescent="0.25">
      <c r="A176" s="214">
        <v>3236</v>
      </c>
      <c r="B176" s="215" t="s">
        <v>1475</v>
      </c>
      <c r="C176" s="321">
        <v>165</v>
      </c>
      <c r="D176" s="218">
        <v>74384</v>
      </c>
      <c r="E176" s="218">
        <v>31028</v>
      </c>
      <c r="F176" s="217">
        <f t="shared" si="2"/>
        <v>41.713271671327171</v>
      </c>
      <c r="G176" s="13"/>
    </row>
    <row r="177" spans="1:7" ht="14.1" customHeight="1" x14ac:dyDescent="0.25">
      <c r="A177" s="214">
        <v>3237</v>
      </c>
      <c r="B177" s="215" t="s">
        <v>1477</v>
      </c>
      <c r="C177" s="321">
        <v>166</v>
      </c>
      <c r="D177" s="218">
        <v>38991</v>
      </c>
      <c r="E177" s="218">
        <v>35646</v>
      </c>
      <c r="F177" s="217">
        <f t="shared" si="2"/>
        <v>91.421097176271445</v>
      </c>
      <c r="G177" s="13"/>
    </row>
    <row r="178" spans="1:7" ht="14.1" customHeight="1" x14ac:dyDescent="0.25">
      <c r="A178" s="214">
        <v>3238</v>
      </c>
      <c r="B178" s="215" t="s">
        <v>396</v>
      </c>
      <c r="C178" s="321">
        <v>167</v>
      </c>
      <c r="D178" s="218">
        <v>0</v>
      </c>
      <c r="E178" s="218">
        <v>0</v>
      </c>
      <c r="F178" s="217" t="str">
        <f t="shared" si="2"/>
        <v>-</v>
      </c>
      <c r="G178" s="13"/>
    </row>
    <row r="179" spans="1:7" ht="14.1" customHeight="1" x14ac:dyDescent="0.25">
      <c r="A179" s="214">
        <v>3239</v>
      </c>
      <c r="B179" s="215" t="s">
        <v>397</v>
      </c>
      <c r="C179" s="321">
        <v>168</v>
      </c>
      <c r="D179" s="218">
        <v>0</v>
      </c>
      <c r="E179" s="218">
        <v>0</v>
      </c>
      <c r="F179" s="217" t="str">
        <f t="shared" si="2"/>
        <v>-</v>
      </c>
      <c r="G179" s="13"/>
    </row>
    <row r="180" spans="1:7" ht="14.1" customHeight="1" x14ac:dyDescent="0.25">
      <c r="A180" s="214">
        <v>324</v>
      </c>
      <c r="B180" s="215" t="s">
        <v>2717</v>
      </c>
      <c r="C180" s="321">
        <v>169</v>
      </c>
      <c r="D180" s="216">
        <f>D181</f>
        <v>0</v>
      </c>
      <c r="E180" s="216">
        <f>E181</f>
        <v>0</v>
      </c>
      <c r="F180" s="217" t="str">
        <f t="shared" si="2"/>
        <v>-</v>
      </c>
      <c r="G180" s="13"/>
    </row>
    <row r="181" spans="1:7" ht="14.1" customHeight="1" x14ac:dyDescent="0.25">
      <c r="A181" s="214">
        <v>3241</v>
      </c>
      <c r="B181" s="215" t="s">
        <v>2718</v>
      </c>
      <c r="C181" s="321">
        <v>170</v>
      </c>
      <c r="D181" s="218">
        <v>0</v>
      </c>
      <c r="E181" s="218">
        <v>0</v>
      </c>
      <c r="F181" s="217" t="str">
        <f t="shared" si="2"/>
        <v>-</v>
      </c>
      <c r="G181" s="13"/>
    </row>
    <row r="182" spans="1:7" ht="14.1" customHeight="1" x14ac:dyDescent="0.25">
      <c r="A182" s="214">
        <v>329</v>
      </c>
      <c r="B182" s="215" t="s">
        <v>2719</v>
      </c>
      <c r="C182" s="321">
        <v>171</v>
      </c>
      <c r="D182" s="216">
        <f>SUM(D183:D188)</f>
        <v>481685</v>
      </c>
      <c r="E182" s="216">
        <f>SUM(E183:E188)</f>
        <v>204122</v>
      </c>
      <c r="F182" s="217">
        <f t="shared" si="2"/>
        <v>42.376656943853348</v>
      </c>
      <c r="G182" s="13"/>
    </row>
    <row r="183" spans="1:7" ht="14.1" customHeight="1" x14ac:dyDescent="0.25">
      <c r="A183" s="214">
        <v>3291</v>
      </c>
      <c r="B183" s="219" t="s">
        <v>704</v>
      </c>
      <c r="C183" s="321">
        <v>172</v>
      </c>
      <c r="D183" s="218">
        <v>447985</v>
      </c>
      <c r="E183" s="218">
        <v>171262</v>
      </c>
      <c r="F183" s="217">
        <f t="shared" si="2"/>
        <v>38.229405002399638</v>
      </c>
      <c r="G183" s="13"/>
    </row>
    <row r="184" spans="1:7" ht="14.1" customHeight="1" x14ac:dyDescent="0.25">
      <c r="A184" s="214">
        <v>3292</v>
      </c>
      <c r="B184" s="215" t="s">
        <v>706</v>
      </c>
      <c r="C184" s="321">
        <v>173</v>
      </c>
      <c r="D184" s="218">
        <v>0</v>
      </c>
      <c r="E184" s="218">
        <v>0</v>
      </c>
      <c r="F184" s="217" t="str">
        <f t="shared" si="2"/>
        <v>-</v>
      </c>
      <c r="G184" s="13"/>
    </row>
    <row r="185" spans="1:7" ht="14.1" customHeight="1" x14ac:dyDescent="0.25">
      <c r="A185" s="214">
        <v>3293</v>
      </c>
      <c r="B185" s="215" t="s">
        <v>708</v>
      </c>
      <c r="C185" s="321">
        <v>174</v>
      </c>
      <c r="D185" s="218">
        <v>16793</v>
      </c>
      <c r="E185" s="218">
        <v>15985</v>
      </c>
      <c r="F185" s="217">
        <f t="shared" si="2"/>
        <v>95.1884713868874</v>
      </c>
      <c r="G185" s="13"/>
    </row>
    <row r="186" spans="1:7" ht="14.1" customHeight="1" x14ac:dyDescent="0.25">
      <c r="A186" s="214">
        <v>3294</v>
      </c>
      <c r="B186" s="215" t="s">
        <v>710</v>
      </c>
      <c r="C186" s="321">
        <v>175</v>
      </c>
      <c r="D186" s="218">
        <v>2000</v>
      </c>
      <c r="E186" s="218">
        <v>2000</v>
      </c>
      <c r="F186" s="217">
        <f t="shared" si="2"/>
        <v>100</v>
      </c>
      <c r="G186" s="13"/>
    </row>
    <row r="187" spans="1:7" ht="14.1" customHeight="1" x14ac:dyDescent="0.25">
      <c r="A187" s="214">
        <v>3295</v>
      </c>
      <c r="B187" s="215" t="s">
        <v>2720</v>
      </c>
      <c r="C187" s="321">
        <v>176</v>
      </c>
      <c r="D187" s="218">
        <v>0</v>
      </c>
      <c r="E187" s="218">
        <v>0</v>
      </c>
      <c r="F187" s="217" t="str">
        <f t="shared" si="2"/>
        <v>-</v>
      </c>
      <c r="G187" s="13"/>
    </row>
    <row r="188" spans="1:7" ht="14.1" customHeight="1" x14ac:dyDescent="0.25">
      <c r="A188" s="214">
        <v>3299</v>
      </c>
      <c r="B188" s="215" t="s">
        <v>711</v>
      </c>
      <c r="C188" s="321">
        <v>177</v>
      </c>
      <c r="D188" s="218">
        <v>14907</v>
      </c>
      <c r="E188" s="218">
        <v>14875</v>
      </c>
      <c r="F188" s="217">
        <f t="shared" si="2"/>
        <v>99.785335748306167</v>
      </c>
      <c r="G188" s="13"/>
    </row>
    <row r="189" spans="1:7" ht="14.1" customHeight="1" x14ac:dyDescent="0.25">
      <c r="A189" s="214">
        <v>34</v>
      </c>
      <c r="B189" s="219" t="s">
        <v>2721</v>
      </c>
      <c r="C189" s="321">
        <v>178</v>
      </c>
      <c r="D189" s="216">
        <f>D190+D195+D203</f>
        <v>23059</v>
      </c>
      <c r="E189" s="216">
        <f>E190+E195+E203</f>
        <v>15157</v>
      </c>
      <c r="F189" s="217">
        <f t="shared" si="2"/>
        <v>65.7313847087905</v>
      </c>
      <c r="G189" s="13"/>
    </row>
    <row r="190" spans="1:7" ht="14.1" customHeight="1" x14ac:dyDescent="0.25">
      <c r="A190" s="214">
        <v>341</v>
      </c>
      <c r="B190" s="215" t="s">
        <v>2722</v>
      </c>
      <c r="C190" s="321">
        <v>179</v>
      </c>
      <c r="D190" s="216">
        <f>SUM(D191:D194)</f>
        <v>0</v>
      </c>
      <c r="E190" s="216">
        <f>SUM(E191:E194)</f>
        <v>0</v>
      </c>
      <c r="F190" s="217" t="str">
        <f t="shared" si="2"/>
        <v>-</v>
      </c>
      <c r="G190" s="13"/>
    </row>
    <row r="191" spans="1:7" ht="14.1" customHeight="1" x14ac:dyDescent="0.25">
      <c r="A191" s="214">
        <v>3411</v>
      </c>
      <c r="B191" s="215" t="s">
        <v>713</v>
      </c>
      <c r="C191" s="321">
        <v>180</v>
      </c>
      <c r="D191" s="218">
        <v>0</v>
      </c>
      <c r="E191" s="218">
        <v>0</v>
      </c>
      <c r="F191" s="217" t="str">
        <f t="shared" si="2"/>
        <v>-</v>
      </c>
      <c r="G191" s="13"/>
    </row>
    <row r="192" spans="1:7" ht="14.1" customHeight="1" x14ac:dyDescent="0.25">
      <c r="A192" s="214">
        <v>3412</v>
      </c>
      <c r="B192" s="215" t="s">
        <v>714</v>
      </c>
      <c r="C192" s="321">
        <v>181</v>
      </c>
      <c r="D192" s="218">
        <v>0</v>
      </c>
      <c r="E192" s="218">
        <v>0</v>
      </c>
      <c r="F192" s="217" t="str">
        <f t="shared" si="2"/>
        <v>-</v>
      </c>
      <c r="G192" s="13"/>
    </row>
    <row r="193" spans="1:7" ht="14.1" customHeight="1" x14ac:dyDescent="0.25">
      <c r="A193" s="214">
        <v>3413</v>
      </c>
      <c r="B193" s="215" t="s">
        <v>3096</v>
      </c>
      <c r="C193" s="321">
        <v>182</v>
      </c>
      <c r="D193" s="218">
        <v>0</v>
      </c>
      <c r="E193" s="218">
        <v>0</v>
      </c>
      <c r="F193" s="217" t="str">
        <f t="shared" si="2"/>
        <v>-</v>
      </c>
      <c r="G193" s="13"/>
    </row>
    <row r="194" spans="1:7" ht="14.1" customHeight="1" x14ac:dyDescent="0.25">
      <c r="A194" s="214">
        <v>3419</v>
      </c>
      <c r="B194" s="215" t="s">
        <v>3097</v>
      </c>
      <c r="C194" s="321">
        <v>183</v>
      </c>
      <c r="D194" s="218">
        <v>0</v>
      </c>
      <c r="E194" s="218">
        <v>0</v>
      </c>
      <c r="F194" s="217" t="str">
        <f t="shared" si="2"/>
        <v>-</v>
      </c>
      <c r="G194" s="13"/>
    </row>
    <row r="195" spans="1:7" ht="14.1" customHeight="1" x14ac:dyDescent="0.25">
      <c r="A195" s="214">
        <v>342</v>
      </c>
      <c r="B195" s="215" t="s">
        <v>2723</v>
      </c>
      <c r="C195" s="321">
        <v>184</v>
      </c>
      <c r="D195" s="216">
        <f>SUM(D196:D202)</f>
        <v>0</v>
      </c>
      <c r="E195" s="216">
        <f>SUM(E196:E202)</f>
        <v>0</v>
      </c>
      <c r="F195" s="217" t="str">
        <f t="shared" si="2"/>
        <v>-</v>
      </c>
      <c r="G195" s="13"/>
    </row>
    <row r="196" spans="1:7" ht="24.9" customHeight="1" x14ac:dyDescent="0.25">
      <c r="A196" s="214">
        <v>3421</v>
      </c>
      <c r="B196" s="215" t="s">
        <v>2724</v>
      </c>
      <c r="C196" s="321">
        <v>185</v>
      </c>
      <c r="D196" s="218">
        <v>0</v>
      </c>
      <c r="E196" s="218">
        <v>0</v>
      </c>
      <c r="F196" s="217" t="str">
        <f t="shared" si="2"/>
        <v>-</v>
      </c>
      <c r="G196" s="13"/>
    </row>
    <row r="197" spans="1:7" ht="14.1" customHeight="1" x14ac:dyDescent="0.25">
      <c r="A197" s="214">
        <v>3422</v>
      </c>
      <c r="B197" s="219" t="s">
        <v>2725</v>
      </c>
      <c r="C197" s="321">
        <v>186</v>
      </c>
      <c r="D197" s="218">
        <v>0</v>
      </c>
      <c r="E197" s="218">
        <v>0</v>
      </c>
      <c r="F197" s="217" t="str">
        <f t="shared" si="2"/>
        <v>-</v>
      </c>
      <c r="G197" s="13"/>
    </row>
    <row r="198" spans="1:7" ht="14.1" customHeight="1" x14ac:dyDescent="0.25">
      <c r="A198" s="214">
        <v>3423</v>
      </c>
      <c r="B198" s="219" t="s">
        <v>2726</v>
      </c>
      <c r="C198" s="321">
        <v>187</v>
      </c>
      <c r="D198" s="218">
        <v>0</v>
      </c>
      <c r="E198" s="218">
        <v>0</v>
      </c>
      <c r="F198" s="217" t="str">
        <f t="shared" si="2"/>
        <v>-</v>
      </c>
      <c r="G198" s="13"/>
    </row>
    <row r="199" spans="1:7" ht="14.1" customHeight="1" x14ac:dyDescent="0.25">
      <c r="A199" s="214">
        <v>3425</v>
      </c>
      <c r="B199" s="215" t="s">
        <v>2727</v>
      </c>
      <c r="C199" s="321">
        <v>188</v>
      </c>
      <c r="D199" s="218">
        <v>0</v>
      </c>
      <c r="E199" s="218">
        <v>0</v>
      </c>
      <c r="F199" s="217" t="str">
        <f t="shared" si="2"/>
        <v>-</v>
      </c>
      <c r="G199" s="13"/>
    </row>
    <row r="200" spans="1:7" ht="14.1" customHeight="1" x14ac:dyDescent="0.25">
      <c r="A200" s="214">
        <v>3426</v>
      </c>
      <c r="B200" s="215" t="s">
        <v>2728</v>
      </c>
      <c r="C200" s="321">
        <v>189</v>
      </c>
      <c r="D200" s="218">
        <v>0</v>
      </c>
      <c r="E200" s="218">
        <v>0</v>
      </c>
      <c r="F200" s="217" t="str">
        <f t="shared" si="2"/>
        <v>-</v>
      </c>
      <c r="G200" s="13"/>
    </row>
    <row r="201" spans="1:7" ht="14.1" customHeight="1" x14ac:dyDescent="0.25">
      <c r="A201" s="214">
        <v>3427</v>
      </c>
      <c r="B201" s="215" t="s">
        <v>2729</v>
      </c>
      <c r="C201" s="321">
        <v>190</v>
      </c>
      <c r="D201" s="218">
        <v>0</v>
      </c>
      <c r="E201" s="218">
        <v>0</v>
      </c>
      <c r="F201" s="217" t="str">
        <f t="shared" si="2"/>
        <v>-</v>
      </c>
      <c r="G201" s="13"/>
    </row>
    <row r="202" spans="1:7" ht="14.1" customHeight="1" x14ac:dyDescent="0.25">
      <c r="A202" s="214">
        <v>3428</v>
      </c>
      <c r="B202" s="215" t="s">
        <v>3751</v>
      </c>
      <c r="C202" s="321">
        <v>191</v>
      </c>
      <c r="D202" s="218">
        <v>0</v>
      </c>
      <c r="E202" s="218">
        <v>0</v>
      </c>
      <c r="F202" s="217" t="str">
        <f t="shared" si="2"/>
        <v>-</v>
      </c>
      <c r="G202" s="13"/>
    </row>
    <row r="203" spans="1:7" ht="14.1" customHeight="1" x14ac:dyDescent="0.25">
      <c r="A203" s="214">
        <v>343</v>
      </c>
      <c r="B203" s="215" t="s">
        <v>2730</v>
      </c>
      <c r="C203" s="321">
        <v>192</v>
      </c>
      <c r="D203" s="216">
        <f>SUM(D204:D207)</f>
        <v>23059</v>
      </c>
      <c r="E203" s="216">
        <f>SUM(E204:E207)</f>
        <v>15157</v>
      </c>
      <c r="F203" s="217">
        <f t="shared" si="2"/>
        <v>65.7313847087905</v>
      </c>
      <c r="G203" s="13"/>
    </row>
    <row r="204" spans="1:7" ht="14.1" customHeight="1" x14ac:dyDescent="0.25">
      <c r="A204" s="214">
        <v>3431</v>
      </c>
      <c r="B204" s="219" t="s">
        <v>3658</v>
      </c>
      <c r="C204" s="321">
        <v>193</v>
      </c>
      <c r="D204" s="218">
        <v>10494</v>
      </c>
      <c r="E204" s="218">
        <v>8840</v>
      </c>
      <c r="F204" s="217">
        <f t="shared" si="2"/>
        <v>84.238612540499332</v>
      </c>
      <c r="G204" s="13"/>
    </row>
    <row r="205" spans="1:7" ht="14.1" customHeight="1" x14ac:dyDescent="0.25">
      <c r="A205" s="214">
        <v>3432</v>
      </c>
      <c r="B205" s="215" t="s">
        <v>2731</v>
      </c>
      <c r="C205" s="321">
        <v>194</v>
      </c>
      <c r="D205" s="218">
        <v>0</v>
      </c>
      <c r="E205" s="218">
        <v>0</v>
      </c>
      <c r="F205" s="217" t="str">
        <f t="shared" ref="F205:F268" si="3">IF(D205&gt;0,IF(E205/D205&gt;=100,"&gt;&gt;100",E205/D205*100),"-")</f>
        <v>-</v>
      </c>
      <c r="G205" s="13"/>
    </row>
    <row r="206" spans="1:7" ht="14.1" customHeight="1" x14ac:dyDescent="0.25">
      <c r="A206" s="214">
        <v>3433</v>
      </c>
      <c r="B206" s="215" t="s">
        <v>1253</v>
      </c>
      <c r="C206" s="321">
        <v>195</v>
      </c>
      <c r="D206" s="218">
        <v>82</v>
      </c>
      <c r="E206" s="218">
        <v>35</v>
      </c>
      <c r="F206" s="217">
        <f t="shared" si="3"/>
        <v>42.68292682926829</v>
      </c>
      <c r="G206" s="13"/>
    </row>
    <row r="207" spans="1:7" ht="14.1" customHeight="1" x14ac:dyDescent="0.25">
      <c r="A207" s="214">
        <v>3434</v>
      </c>
      <c r="B207" s="215" t="s">
        <v>1254</v>
      </c>
      <c r="C207" s="321">
        <v>196</v>
      </c>
      <c r="D207" s="218">
        <v>12483</v>
      </c>
      <c r="E207" s="218">
        <v>6282</v>
      </c>
      <c r="F207" s="217">
        <f t="shared" si="3"/>
        <v>50.324441240086514</v>
      </c>
      <c r="G207" s="13"/>
    </row>
    <row r="208" spans="1:7" ht="14.1" customHeight="1" x14ac:dyDescent="0.25">
      <c r="A208" s="214">
        <v>35</v>
      </c>
      <c r="B208" s="215" t="s">
        <v>2732</v>
      </c>
      <c r="C208" s="321">
        <v>197</v>
      </c>
      <c r="D208" s="216">
        <f>D209+D212</f>
        <v>212638</v>
      </c>
      <c r="E208" s="216">
        <f>E209+E212</f>
        <v>199622</v>
      </c>
      <c r="F208" s="217">
        <f t="shared" si="3"/>
        <v>93.878798709543915</v>
      </c>
      <c r="G208" s="13"/>
    </row>
    <row r="209" spans="1:7" ht="14.1" customHeight="1" x14ac:dyDescent="0.25">
      <c r="A209" s="214">
        <v>351</v>
      </c>
      <c r="B209" s="215" t="s">
        <v>2733</v>
      </c>
      <c r="C209" s="321">
        <v>198</v>
      </c>
      <c r="D209" s="216">
        <f>SUM(D210:D211)</f>
        <v>0</v>
      </c>
      <c r="E209" s="216">
        <f>SUM(E210:E211)</f>
        <v>0</v>
      </c>
      <c r="F209" s="217" t="str">
        <f t="shared" si="3"/>
        <v>-</v>
      </c>
      <c r="G209" s="13"/>
    </row>
    <row r="210" spans="1:7" ht="14.1" customHeight="1" x14ac:dyDescent="0.25">
      <c r="A210" s="214">
        <v>3511</v>
      </c>
      <c r="B210" s="215" t="s">
        <v>2734</v>
      </c>
      <c r="C210" s="321">
        <v>199</v>
      </c>
      <c r="D210" s="218">
        <v>0</v>
      </c>
      <c r="E210" s="218">
        <v>0</v>
      </c>
      <c r="F210" s="217" t="str">
        <f t="shared" si="3"/>
        <v>-</v>
      </c>
      <c r="G210" s="13"/>
    </row>
    <row r="211" spans="1:7" ht="14.1" customHeight="1" x14ac:dyDescent="0.25">
      <c r="A211" s="214">
        <v>3512</v>
      </c>
      <c r="B211" s="215" t="s">
        <v>1839</v>
      </c>
      <c r="C211" s="321">
        <v>200</v>
      </c>
      <c r="D211" s="218">
        <v>0</v>
      </c>
      <c r="E211" s="218">
        <v>0</v>
      </c>
      <c r="F211" s="217" t="str">
        <f t="shared" si="3"/>
        <v>-</v>
      </c>
      <c r="G211" s="13"/>
    </row>
    <row r="212" spans="1:7" ht="24.9" customHeight="1" x14ac:dyDescent="0.25">
      <c r="A212" s="214">
        <v>352</v>
      </c>
      <c r="B212" s="215" t="s">
        <v>1242</v>
      </c>
      <c r="C212" s="321">
        <v>201</v>
      </c>
      <c r="D212" s="216">
        <f>SUM(D213:D215)</f>
        <v>212638</v>
      </c>
      <c r="E212" s="216">
        <f>SUM(E213:E215)</f>
        <v>199622</v>
      </c>
      <c r="F212" s="217">
        <f t="shared" si="3"/>
        <v>93.878798709543915</v>
      </c>
      <c r="G212" s="13"/>
    </row>
    <row r="213" spans="1:7" ht="14.1" customHeight="1" x14ac:dyDescent="0.25">
      <c r="A213" s="214">
        <v>3521</v>
      </c>
      <c r="B213" s="215" t="s">
        <v>2735</v>
      </c>
      <c r="C213" s="321">
        <v>202</v>
      </c>
      <c r="D213" s="218">
        <v>0</v>
      </c>
      <c r="E213" s="218">
        <v>0</v>
      </c>
      <c r="F213" s="217" t="str">
        <f t="shared" si="3"/>
        <v>-</v>
      </c>
      <c r="G213" s="13"/>
    </row>
    <row r="214" spans="1:7" ht="14.1" customHeight="1" x14ac:dyDescent="0.25">
      <c r="A214" s="214">
        <v>3522</v>
      </c>
      <c r="B214" s="215" t="s">
        <v>1840</v>
      </c>
      <c r="C214" s="321">
        <v>203</v>
      </c>
      <c r="D214" s="218">
        <v>0</v>
      </c>
      <c r="E214" s="218">
        <v>0</v>
      </c>
      <c r="F214" s="217" t="str">
        <f t="shared" si="3"/>
        <v>-</v>
      </c>
      <c r="G214" s="13"/>
    </row>
    <row r="215" spans="1:7" ht="14.1" customHeight="1" x14ac:dyDescent="0.25">
      <c r="A215" s="214">
        <v>3523</v>
      </c>
      <c r="B215" s="215" t="s">
        <v>2736</v>
      </c>
      <c r="C215" s="321">
        <v>204</v>
      </c>
      <c r="D215" s="218">
        <v>212638</v>
      </c>
      <c r="E215" s="218">
        <v>199622</v>
      </c>
      <c r="F215" s="217">
        <f t="shared" si="3"/>
        <v>93.878798709543915</v>
      </c>
      <c r="G215" s="13"/>
    </row>
    <row r="216" spans="1:7" ht="14.1" customHeight="1" x14ac:dyDescent="0.25">
      <c r="A216" s="214">
        <v>36</v>
      </c>
      <c r="B216" s="215" t="s">
        <v>2737</v>
      </c>
      <c r="C216" s="321">
        <v>205</v>
      </c>
      <c r="D216" s="216">
        <f>D217+D220+D223</f>
        <v>42013</v>
      </c>
      <c r="E216" s="216">
        <f>E217+E220+E223</f>
        <v>34701</v>
      </c>
      <c r="F216" s="217">
        <f t="shared" si="3"/>
        <v>82.595863185204578</v>
      </c>
      <c r="G216" s="13"/>
    </row>
    <row r="217" spans="1:7" ht="14.1" customHeight="1" x14ac:dyDescent="0.25">
      <c r="A217" s="214">
        <v>361</v>
      </c>
      <c r="B217" s="215" t="s">
        <v>2738</v>
      </c>
      <c r="C217" s="321">
        <v>206</v>
      </c>
      <c r="D217" s="216">
        <f>SUM(D218:D219)</f>
        <v>0</v>
      </c>
      <c r="E217" s="216">
        <f>SUM(E218:E219)</f>
        <v>0</v>
      </c>
      <c r="F217" s="217" t="str">
        <f t="shared" si="3"/>
        <v>-</v>
      </c>
      <c r="G217" s="13"/>
    </row>
    <row r="218" spans="1:7" ht="14.1" customHeight="1" x14ac:dyDescent="0.25">
      <c r="A218" s="214">
        <v>3611</v>
      </c>
      <c r="B218" s="215" t="s">
        <v>1842</v>
      </c>
      <c r="C218" s="321">
        <v>207</v>
      </c>
      <c r="D218" s="218">
        <v>0</v>
      </c>
      <c r="E218" s="218">
        <v>0</v>
      </c>
      <c r="F218" s="217" t="str">
        <f t="shared" si="3"/>
        <v>-</v>
      </c>
      <c r="G218" s="13"/>
    </row>
    <row r="219" spans="1:7" ht="14.1" customHeight="1" x14ac:dyDescent="0.25">
      <c r="A219" s="214">
        <v>3612</v>
      </c>
      <c r="B219" s="215" t="s">
        <v>1843</v>
      </c>
      <c r="C219" s="321">
        <v>208</v>
      </c>
      <c r="D219" s="218">
        <v>0</v>
      </c>
      <c r="E219" s="218">
        <v>0</v>
      </c>
      <c r="F219" s="217" t="str">
        <f t="shared" si="3"/>
        <v>-</v>
      </c>
      <c r="G219" s="13"/>
    </row>
    <row r="220" spans="1:7" ht="14.1" customHeight="1" x14ac:dyDescent="0.25">
      <c r="A220" s="214">
        <v>362</v>
      </c>
      <c r="B220" s="215" t="s">
        <v>2739</v>
      </c>
      <c r="C220" s="321">
        <v>209</v>
      </c>
      <c r="D220" s="216">
        <f>SUM(D221:D222)</f>
        <v>0</v>
      </c>
      <c r="E220" s="216">
        <f>SUM(E221:E222)</f>
        <v>0</v>
      </c>
      <c r="F220" s="217" t="str">
        <f t="shared" si="3"/>
        <v>-</v>
      </c>
      <c r="G220" s="13"/>
    </row>
    <row r="221" spans="1:7" ht="14.1" customHeight="1" x14ac:dyDescent="0.25">
      <c r="A221" s="214">
        <v>3621</v>
      </c>
      <c r="B221" s="215" t="s">
        <v>2740</v>
      </c>
      <c r="C221" s="321">
        <v>210</v>
      </c>
      <c r="D221" s="218">
        <v>0</v>
      </c>
      <c r="E221" s="218">
        <v>0</v>
      </c>
      <c r="F221" s="217" t="str">
        <f t="shared" si="3"/>
        <v>-</v>
      </c>
      <c r="G221" s="13"/>
    </row>
    <row r="222" spans="1:7" ht="14.1" customHeight="1" x14ac:dyDescent="0.25">
      <c r="A222" s="214">
        <v>3622</v>
      </c>
      <c r="B222" s="215" t="s">
        <v>4102</v>
      </c>
      <c r="C222" s="321">
        <v>211</v>
      </c>
      <c r="D222" s="218">
        <v>0</v>
      </c>
      <c r="E222" s="218">
        <v>0</v>
      </c>
      <c r="F222" s="217" t="str">
        <f t="shared" si="3"/>
        <v>-</v>
      </c>
      <c r="G222" s="13"/>
    </row>
    <row r="223" spans="1:7" ht="14.1" customHeight="1" x14ac:dyDescent="0.25">
      <c r="A223" s="214">
        <v>363</v>
      </c>
      <c r="B223" s="215" t="s">
        <v>877</v>
      </c>
      <c r="C223" s="321">
        <v>212</v>
      </c>
      <c r="D223" s="216">
        <f>SUM(D224:D227)</f>
        <v>42013</v>
      </c>
      <c r="E223" s="216">
        <f>SUM(E224:E227)</f>
        <v>34701</v>
      </c>
      <c r="F223" s="217">
        <f t="shared" si="3"/>
        <v>82.595863185204578</v>
      </c>
      <c r="G223" s="13"/>
    </row>
    <row r="224" spans="1:7" ht="14.1" customHeight="1" x14ac:dyDescent="0.25">
      <c r="A224" s="214">
        <v>3631</v>
      </c>
      <c r="B224" s="215" t="s">
        <v>2887</v>
      </c>
      <c r="C224" s="321">
        <v>213</v>
      </c>
      <c r="D224" s="218">
        <v>42013</v>
      </c>
      <c r="E224" s="218">
        <v>34701</v>
      </c>
      <c r="F224" s="217">
        <f t="shared" si="3"/>
        <v>82.595863185204578</v>
      </c>
      <c r="G224" s="13"/>
    </row>
    <row r="225" spans="1:7" ht="14.1" customHeight="1" x14ac:dyDescent="0.25">
      <c r="A225" s="214">
        <v>3632</v>
      </c>
      <c r="B225" s="215" t="s">
        <v>2888</v>
      </c>
      <c r="C225" s="321">
        <v>214</v>
      </c>
      <c r="D225" s="218">
        <v>0</v>
      </c>
      <c r="E225" s="218">
        <v>0</v>
      </c>
      <c r="F225" s="217" t="str">
        <f t="shared" si="3"/>
        <v>-</v>
      </c>
      <c r="G225" s="13"/>
    </row>
    <row r="226" spans="1:7" ht="14.1" customHeight="1" x14ac:dyDescent="0.25">
      <c r="A226" s="214">
        <v>3633</v>
      </c>
      <c r="B226" s="215" t="s">
        <v>2889</v>
      </c>
      <c r="C226" s="321">
        <v>215</v>
      </c>
      <c r="D226" s="218">
        <v>0</v>
      </c>
      <c r="E226" s="218">
        <v>0</v>
      </c>
      <c r="F226" s="217" t="str">
        <f t="shared" si="3"/>
        <v>-</v>
      </c>
      <c r="G226" s="13"/>
    </row>
    <row r="227" spans="1:7" ht="14.1" customHeight="1" x14ac:dyDescent="0.25">
      <c r="A227" s="214">
        <v>3634</v>
      </c>
      <c r="B227" s="215" t="s">
        <v>2890</v>
      </c>
      <c r="C227" s="321">
        <v>216</v>
      </c>
      <c r="D227" s="218">
        <v>0</v>
      </c>
      <c r="E227" s="218">
        <v>0</v>
      </c>
      <c r="F227" s="217" t="str">
        <f t="shared" si="3"/>
        <v>-</v>
      </c>
      <c r="G227" s="13"/>
    </row>
    <row r="228" spans="1:7" ht="14.1" customHeight="1" x14ac:dyDescent="0.25">
      <c r="A228" s="214">
        <v>37</v>
      </c>
      <c r="B228" s="219" t="s">
        <v>2187</v>
      </c>
      <c r="C228" s="321">
        <v>217</v>
      </c>
      <c r="D228" s="216">
        <f>D229+D232</f>
        <v>267152</v>
      </c>
      <c r="E228" s="216">
        <f>E229+E232</f>
        <v>314740</v>
      </c>
      <c r="F228" s="217">
        <f t="shared" si="3"/>
        <v>117.81308019404683</v>
      </c>
      <c r="G228" s="13"/>
    </row>
    <row r="229" spans="1:7" ht="14.1" customHeight="1" x14ac:dyDescent="0.25">
      <c r="A229" s="214">
        <v>371</v>
      </c>
      <c r="B229" s="215" t="s">
        <v>2188</v>
      </c>
      <c r="C229" s="321">
        <v>218</v>
      </c>
      <c r="D229" s="216">
        <f>SUM(D230:D231)</f>
        <v>0</v>
      </c>
      <c r="E229" s="216">
        <f>SUM(E230:E231)</f>
        <v>0</v>
      </c>
      <c r="F229" s="217" t="str">
        <f t="shared" si="3"/>
        <v>-</v>
      </c>
      <c r="G229" s="13"/>
    </row>
    <row r="230" spans="1:7" ht="14.1" customHeight="1" x14ac:dyDescent="0.25">
      <c r="A230" s="214">
        <v>3711</v>
      </c>
      <c r="B230" s="215" t="s">
        <v>4505</v>
      </c>
      <c r="C230" s="321">
        <v>219</v>
      </c>
      <c r="D230" s="218">
        <v>0</v>
      </c>
      <c r="E230" s="218">
        <v>0</v>
      </c>
      <c r="F230" s="217" t="str">
        <f t="shared" si="3"/>
        <v>-</v>
      </c>
      <c r="G230" s="13"/>
    </row>
    <row r="231" spans="1:7" ht="14.1" customHeight="1" x14ac:dyDescent="0.25">
      <c r="A231" s="214">
        <v>3712</v>
      </c>
      <c r="B231" s="219" t="s">
        <v>4506</v>
      </c>
      <c r="C231" s="321">
        <v>220</v>
      </c>
      <c r="D231" s="218">
        <v>0</v>
      </c>
      <c r="E231" s="218">
        <v>0</v>
      </c>
      <c r="F231" s="217" t="str">
        <f t="shared" si="3"/>
        <v>-</v>
      </c>
      <c r="G231" s="13"/>
    </row>
    <row r="232" spans="1:7" ht="14.1" customHeight="1" x14ac:dyDescent="0.25">
      <c r="A232" s="214">
        <v>372</v>
      </c>
      <c r="B232" s="219" t="s">
        <v>2189</v>
      </c>
      <c r="C232" s="321">
        <v>221</v>
      </c>
      <c r="D232" s="216">
        <f>SUM(D233:D234)</f>
        <v>267152</v>
      </c>
      <c r="E232" s="216">
        <f>SUM(E233:E234)</f>
        <v>314740</v>
      </c>
      <c r="F232" s="217">
        <f t="shared" si="3"/>
        <v>117.81308019404683</v>
      </c>
      <c r="G232" s="13"/>
    </row>
    <row r="233" spans="1:7" ht="14.1" customHeight="1" x14ac:dyDescent="0.25">
      <c r="A233" s="214">
        <v>3721</v>
      </c>
      <c r="B233" s="215" t="s">
        <v>4507</v>
      </c>
      <c r="C233" s="321">
        <v>222</v>
      </c>
      <c r="D233" s="218">
        <v>39000</v>
      </c>
      <c r="E233" s="218">
        <v>30000</v>
      </c>
      <c r="F233" s="217">
        <f t="shared" si="3"/>
        <v>76.923076923076934</v>
      </c>
      <c r="G233" s="13"/>
    </row>
    <row r="234" spans="1:7" ht="14.1" customHeight="1" x14ac:dyDescent="0.25">
      <c r="A234" s="214">
        <v>3722</v>
      </c>
      <c r="B234" s="215" t="s">
        <v>4506</v>
      </c>
      <c r="C234" s="321">
        <v>223</v>
      </c>
      <c r="D234" s="218">
        <v>228152</v>
      </c>
      <c r="E234" s="218">
        <v>284740</v>
      </c>
      <c r="F234" s="217">
        <f t="shared" si="3"/>
        <v>124.80276307023388</v>
      </c>
      <c r="G234" s="13"/>
    </row>
    <row r="235" spans="1:7" ht="14.1" customHeight="1" x14ac:dyDescent="0.25">
      <c r="A235" s="214">
        <v>38</v>
      </c>
      <c r="B235" s="215" t="s">
        <v>2190</v>
      </c>
      <c r="C235" s="321">
        <v>224</v>
      </c>
      <c r="D235" s="216">
        <f>D236+D239+D242+D247</f>
        <v>596675</v>
      </c>
      <c r="E235" s="216">
        <f>E236+E239+E242+E247</f>
        <v>1364655</v>
      </c>
      <c r="F235" s="217">
        <f t="shared" si="3"/>
        <v>228.70993421879584</v>
      </c>
      <c r="G235" s="13"/>
    </row>
    <row r="236" spans="1:7" ht="14.1" customHeight="1" x14ac:dyDescent="0.25">
      <c r="A236" s="214">
        <v>381</v>
      </c>
      <c r="B236" s="215" t="s">
        <v>2223</v>
      </c>
      <c r="C236" s="321">
        <v>225</v>
      </c>
      <c r="D236" s="216">
        <f>SUM(D237:D238)</f>
        <v>296546</v>
      </c>
      <c r="E236" s="216">
        <f>SUM(E237:E238)</f>
        <v>263190</v>
      </c>
      <c r="F236" s="217">
        <f t="shared" si="3"/>
        <v>88.75182939577671</v>
      </c>
      <c r="G236" s="13"/>
    </row>
    <row r="237" spans="1:7" ht="14.1" customHeight="1" x14ac:dyDescent="0.25">
      <c r="A237" s="214">
        <v>3811</v>
      </c>
      <c r="B237" s="215" t="s">
        <v>4457</v>
      </c>
      <c r="C237" s="321">
        <v>226</v>
      </c>
      <c r="D237" s="218">
        <v>296546</v>
      </c>
      <c r="E237" s="218">
        <v>263190</v>
      </c>
      <c r="F237" s="217">
        <f t="shared" si="3"/>
        <v>88.75182939577671</v>
      </c>
      <c r="G237" s="13"/>
    </row>
    <row r="238" spans="1:7" ht="14.1" customHeight="1" x14ac:dyDescent="0.25">
      <c r="A238" s="214">
        <v>3812</v>
      </c>
      <c r="B238" s="215" t="s">
        <v>4458</v>
      </c>
      <c r="C238" s="321">
        <v>227</v>
      </c>
      <c r="D238" s="218">
        <v>0</v>
      </c>
      <c r="E238" s="218">
        <v>0</v>
      </c>
      <c r="F238" s="217" t="str">
        <f t="shared" si="3"/>
        <v>-</v>
      </c>
      <c r="G238" s="13"/>
    </row>
    <row r="239" spans="1:7" ht="14.1" customHeight="1" x14ac:dyDescent="0.25">
      <c r="A239" s="214">
        <v>382</v>
      </c>
      <c r="B239" s="215" t="s">
        <v>2224</v>
      </c>
      <c r="C239" s="321">
        <v>228</v>
      </c>
      <c r="D239" s="216">
        <f>SUM(D240:D241)</f>
        <v>0</v>
      </c>
      <c r="E239" s="216">
        <f>SUM(E240:E241)</f>
        <v>0</v>
      </c>
      <c r="F239" s="217" t="str">
        <f t="shared" si="3"/>
        <v>-</v>
      </c>
      <c r="G239" s="13"/>
    </row>
    <row r="240" spans="1:7" ht="14.1" customHeight="1" x14ac:dyDescent="0.25">
      <c r="A240" s="214">
        <v>3821</v>
      </c>
      <c r="B240" s="215" t="s">
        <v>4460</v>
      </c>
      <c r="C240" s="321">
        <v>229</v>
      </c>
      <c r="D240" s="218">
        <v>0</v>
      </c>
      <c r="E240" s="218">
        <v>0</v>
      </c>
      <c r="F240" s="217" t="str">
        <f t="shared" si="3"/>
        <v>-</v>
      </c>
      <c r="G240" s="13"/>
    </row>
    <row r="241" spans="1:7" ht="14.1" customHeight="1" x14ac:dyDescent="0.25">
      <c r="A241" s="214">
        <v>3822</v>
      </c>
      <c r="B241" s="215" t="s">
        <v>4461</v>
      </c>
      <c r="C241" s="321">
        <v>230</v>
      </c>
      <c r="D241" s="218">
        <v>0</v>
      </c>
      <c r="E241" s="218">
        <v>0</v>
      </c>
      <c r="F241" s="217" t="str">
        <f t="shared" si="3"/>
        <v>-</v>
      </c>
      <c r="G241" s="13"/>
    </row>
    <row r="242" spans="1:7" ht="14.1" customHeight="1" x14ac:dyDescent="0.25">
      <c r="A242" s="214">
        <v>383</v>
      </c>
      <c r="B242" s="215" t="s">
        <v>2225</v>
      </c>
      <c r="C242" s="321">
        <v>231</v>
      </c>
      <c r="D242" s="216">
        <f>SUM(D243:D246)</f>
        <v>0</v>
      </c>
      <c r="E242" s="216">
        <f>SUM(E243:E246)</f>
        <v>0</v>
      </c>
      <c r="F242" s="217" t="str">
        <f t="shared" si="3"/>
        <v>-</v>
      </c>
      <c r="G242" s="13"/>
    </row>
    <row r="243" spans="1:7" ht="14.1" customHeight="1" x14ac:dyDescent="0.25">
      <c r="A243" s="214">
        <v>3831</v>
      </c>
      <c r="B243" s="215" t="s">
        <v>2226</v>
      </c>
      <c r="C243" s="321">
        <v>232</v>
      </c>
      <c r="D243" s="218">
        <v>0</v>
      </c>
      <c r="E243" s="218">
        <v>0</v>
      </c>
      <c r="F243" s="217" t="str">
        <f t="shared" si="3"/>
        <v>-</v>
      </c>
      <c r="G243" s="13"/>
    </row>
    <row r="244" spans="1:7" ht="14.1" customHeight="1" x14ac:dyDescent="0.25">
      <c r="A244" s="214">
        <v>3832</v>
      </c>
      <c r="B244" s="215" t="s">
        <v>4463</v>
      </c>
      <c r="C244" s="321">
        <v>233</v>
      </c>
      <c r="D244" s="218">
        <v>0</v>
      </c>
      <c r="E244" s="218">
        <v>0</v>
      </c>
      <c r="F244" s="217" t="str">
        <f t="shared" si="3"/>
        <v>-</v>
      </c>
      <c r="G244" s="13"/>
    </row>
    <row r="245" spans="1:7" ht="14.1" customHeight="1" x14ac:dyDescent="0.25">
      <c r="A245" s="214">
        <v>3833</v>
      </c>
      <c r="B245" s="215" t="s">
        <v>2227</v>
      </c>
      <c r="C245" s="321">
        <v>234</v>
      </c>
      <c r="D245" s="218">
        <v>0</v>
      </c>
      <c r="E245" s="218">
        <v>0</v>
      </c>
      <c r="F245" s="217" t="str">
        <f t="shared" si="3"/>
        <v>-</v>
      </c>
      <c r="G245" s="13"/>
    </row>
    <row r="246" spans="1:7" ht="14.1" customHeight="1" x14ac:dyDescent="0.25">
      <c r="A246" s="214">
        <v>3834</v>
      </c>
      <c r="B246" s="215" t="s">
        <v>2228</v>
      </c>
      <c r="C246" s="321">
        <v>235</v>
      </c>
      <c r="D246" s="218">
        <v>0</v>
      </c>
      <c r="E246" s="218">
        <v>0</v>
      </c>
      <c r="F246" s="217" t="str">
        <f t="shared" si="3"/>
        <v>-</v>
      </c>
      <c r="G246" s="13"/>
    </row>
    <row r="247" spans="1:7" ht="14.1" customHeight="1" x14ac:dyDescent="0.25">
      <c r="A247" s="214">
        <v>386</v>
      </c>
      <c r="B247" s="215" t="s">
        <v>2229</v>
      </c>
      <c r="C247" s="321">
        <v>236</v>
      </c>
      <c r="D247" s="216">
        <f>SUM(D248:D250)</f>
        <v>300129</v>
      </c>
      <c r="E247" s="216">
        <f>SUM(E248:E250)</f>
        <v>1101465</v>
      </c>
      <c r="F247" s="217">
        <f t="shared" si="3"/>
        <v>366.99719120778065</v>
      </c>
      <c r="G247" s="13"/>
    </row>
    <row r="248" spans="1:7" ht="24.9" customHeight="1" x14ac:dyDescent="0.25">
      <c r="A248" s="214">
        <v>3861</v>
      </c>
      <c r="B248" s="215" t="s">
        <v>2230</v>
      </c>
      <c r="C248" s="321">
        <v>237</v>
      </c>
      <c r="D248" s="218">
        <v>300129</v>
      </c>
      <c r="E248" s="218">
        <v>1101465</v>
      </c>
      <c r="F248" s="217">
        <f t="shared" si="3"/>
        <v>366.99719120778065</v>
      </c>
      <c r="G248" s="13"/>
    </row>
    <row r="249" spans="1:7" ht="24.9" customHeight="1" x14ac:dyDescent="0.25">
      <c r="A249" s="214">
        <v>3862</v>
      </c>
      <c r="B249" s="215" t="s">
        <v>2231</v>
      </c>
      <c r="C249" s="321">
        <v>238</v>
      </c>
      <c r="D249" s="218">
        <v>0</v>
      </c>
      <c r="E249" s="218">
        <v>0</v>
      </c>
      <c r="F249" s="217" t="str">
        <f t="shared" si="3"/>
        <v>-</v>
      </c>
      <c r="G249" s="13"/>
    </row>
    <row r="250" spans="1:7" ht="14.1" customHeight="1" x14ac:dyDescent="0.25">
      <c r="A250" s="214">
        <v>3863</v>
      </c>
      <c r="B250" s="215" t="s">
        <v>2232</v>
      </c>
      <c r="C250" s="321">
        <v>239</v>
      </c>
      <c r="D250" s="218">
        <v>0</v>
      </c>
      <c r="E250" s="218">
        <v>0</v>
      </c>
      <c r="F250" s="217" t="str">
        <f t="shared" si="3"/>
        <v>-</v>
      </c>
      <c r="G250" s="13"/>
    </row>
    <row r="251" spans="1:7" ht="14.1" customHeight="1" x14ac:dyDescent="0.25">
      <c r="A251" s="214" t="s">
        <v>4492</v>
      </c>
      <c r="B251" s="215" t="s">
        <v>4493</v>
      </c>
      <c r="C251" s="321">
        <v>240</v>
      </c>
      <c r="D251" s="218">
        <v>0</v>
      </c>
      <c r="E251" s="218">
        <v>0</v>
      </c>
      <c r="F251" s="217" t="str">
        <f t="shared" si="3"/>
        <v>-</v>
      </c>
      <c r="G251" s="13"/>
    </row>
    <row r="252" spans="1:7" ht="14.1" customHeight="1" x14ac:dyDescent="0.25">
      <c r="A252" s="214" t="s">
        <v>4492</v>
      </c>
      <c r="B252" s="215" t="s">
        <v>4108</v>
      </c>
      <c r="C252" s="321">
        <v>241</v>
      </c>
      <c r="D252" s="218">
        <v>0</v>
      </c>
      <c r="E252" s="218">
        <v>0</v>
      </c>
      <c r="F252" s="217" t="str">
        <f t="shared" si="3"/>
        <v>-</v>
      </c>
      <c r="G252" s="13"/>
    </row>
    <row r="253" spans="1:7" ht="14.1" customHeight="1" x14ac:dyDescent="0.25">
      <c r="A253" s="214" t="s">
        <v>4492</v>
      </c>
      <c r="B253" s="215" t="s">
        <v>2233</v>
      </c>
      <c r="C253" s="321">
        <v>242</v>
      </c>
      <c r="D253" s="216">
        <f>IF(D252&gt;=D251,D252-D251,0)</f>
        <v>0</v>
      </c>
      <c r="E253" s="216">
        <f>IF(E252&gt;=E251,E252-E251,0)</f>
        <v>0</v>
      </c>
      <c r="F253" s="217" t="str">
        <f t="shared" si="3"/>
        <v>-</v>
      </c>
      <c r="G253" s="13"/>
    </row>
    <row r="254" spans="1:7" ht="14.1" customHeight="1" x14ac:dyDescent="0.25">
      <c r="A254" s="214" t="s">
        <v>4492</v>
      </c>
      <c r="B254" s="215" t="s">
        <v>2234</v>
      </c>
      <c r="C254" s="321">
        <v>243</v>
      </c>
      <c r="D254" s="216">
        <f>IF(D251&gt;=D252,D251-D252,0)</f>
        <v>0</v>
      </c>
      <c r="E254" s="216">
        <f>IF(E251&gt;=E252,E251-E252,0)</f>
        <v>0</v>
      </c>
      <c r="F254" s="217" t="str">
        <f t="shared" si="3"/>
        <v>-</v>
      </c>
      <c r="G254" s="13"/>
    </row>
    <row r="255" spans="1:7" ht="14.1" customHeight="1" x14ac:dyDescent="0.25">
      <c r="A255" s="214" t="s">
        <v>4492</v>
      </c>
      <c r="B255" s="215" t="s">
        <v>2235</v>
      </c>
      <c r="C255" s="321">
        <v>244</v>
      </c>
      <c r="D255" s="216">
        <f>D143-D253+D254</f>
        <v>2931186</v>
      </c>
      <c r="E255" s="216">
        <f>E143-E253+E254</f>
        <v>3252410</v>
      </c>
      <c r="F255" s="217">
        <f t="shared" si="3"/>
        <v>110.95884055123079</v>
      </c>
      <c r="G255" s="13"/>
    </row>
    <row r="256" spans="1:7" ht="14.1" customHeight="1" x14ac:dyDescent="0.25">
      <c r="A256" s="214" t="s">
        <v>4492</v>
      </c>
      <c r="B256" s="215" t="s">
        <v>2236</v>
      </c>
      <c r="C256" s="321">
        <v>245</v>
      </c>
      <c r="D256" s="216">
        <f>IF(D12&gt;=D255,D12-D255,0)</f>
        <v>185944</v>
      </c>
      <c r="E256" s="216">
        <f>IF(E12&gt;=E255,E12-E255,0)</f>
        <v>0</v>
      </c>
      <c r="F256" s="217">
        <f t="shared" si="3"/>
        <v>0</v>
      </c>
      <c r="G256" s="13"/>
    </row>
    <row r="257" spans="1:7" ht="14.1" customHeight="1" x14ac:dyDescent="0.25">
      <c r="A257" s="214" t="s">
        <v>4492</v>
      </c>
      <c r="B257" s="215" t="s">
        <v>2237</v>
      </c>
      <c r="C257" s="321">
        <v>246</v>
      </c>
      <c r="D257" s="216">
        <f>IF(D255&gt;=D12,D255-D12,0)</f>
        <v>0</v>
      </c>
      <c r="E257" s="216">
        <f>IF(E255&gt;=E12,E255-E12,0)</f>
        <v>48717</v>
      </c>
      <c r="F257" s="217" t="str">
        <f t="shared" si="3"/>
        <v>-</v>
      </c>
      <c r="G257" s="13"/>
    </row>
    <row r="258" spans="1:7" ht="14.1" customHeight="1" x14ac:dyDescent="0.25">
      <c r="A258" s="214">
        <v>92211</v>
      </c>
      <c r="B258" s="215" t="s">
        <v>2449</v>
      </c>
      <c r="C258" s="321">
        <v>247</v>
      </c>
      <c r="D258" s="218">
        <v>1262772</v>
      </c>
      <c r="E258" s="218">
        <v>1448714</v>
      </c>
      <c r="F258" s="217">
        <f t="shared" si="3"/>
        <v>114.72490679235841</v>
      </c>
      <c r="G258" s="13"/>
    </row>
    <row r="259" spans="1:7" ht="14.1" customHeight="1" x14ac:dyDescent="0.25">
      <c r="A259" s="214">
        <v>92221</v>
      </c>
      <c r="B259" s="215" t="s">
        <v>2451</v>
      </c>
      <c r="C259" s="321">
        <v>248</v>
      </c>
      <c r="D259" s="218">
        <v>0</v>
      </c>
      <c r="E259" s="218">
        <v>0</v>
      </c>
      <c r="F259" s="217" t="str">
        <f t="shared" si="3"/>
        <v>-</v>
      </c>
      <c r="G259" s="13"/>
    </row>
    <row r="260" spans="1:7" ht="14.1" customHeight="1" x14ac:dyDescent="0.25">
      <c r="A260" s="214">
        <v>96</v>
      </c>
      <c r="B260" s="215" t="s">
        <v>2453</v>
      </c>
      <c r="C260" s="321">
        <v>249</v>
      </c>
      <c r="D260" s="218">
        <v>119890</v>
      </c>
      <c r="E260" s="218">
        <v>155403</v>
      </c>
      <c r="F260" s="217">
        <f t="shared" si="3"/>
        <v>129.62131954291434</v>
      </c>
      <c r="G260" s="13"/>
    </row>
    <row r="261" spans="1:7" ht="14.1" customHeight="1" x14ac:dyDescent="0.25">
      <c r="A261" s="220">
        <v>9661</v>
      </c>
      <c r="B261" s="221" t="s">
        <v>2238</v>
      </c>
      <c r="C261" s="322">
        <v>250</v>
      </c>
      <c r="D261" s="222">
        <v>0</v>
      </c>
      <c r="E261" s="222">
        <v>0</v>
      </c>
      <c r="F261" s="223" t="str">
        <f t="shared" si="3"/>
        <v>-</v>
      </c>
      <c r="G261" s="13"/>
    </row>
    <row r="262" spans="1:7" ht="20.100000000000001" customHeight="1" x14ac:dyDescent="0.25">
      <c r="A262" s="535" t="s">
        <v>2239</v>
      </c>
      <c r="B262" s="533"/>
      <c r="C262" s="533"/>
      <c r="D262" s="533"/>
      <c r="E262" s="533"/>
      <c r="F262" s="536"/>
      <c r="G262" s="13"/>
    </row>
    <row r="263" spans="1:7" ht="14.1" customHeight="1" x14ac:dyDescent="0.25">
      <c r="A263" s="210">
        <v>7</v>
      </c>
      <c r="B263" s="211" t="s">
        <v>910</v>
      </c>
      <c r="C263" s="320">
        <v>251</v>
      </c>
      <c r="D263" s="212">
        <f>D264+D276+D308+D312</f>
        <v>0</v>
      </c>
      <c r="E263" s="212">
        <f>E264+E276+E308+E312</f>
        <v>0</v>
      </c>
      <c r="F263" s="213" t="str">
        <f t="shared" si="3"/>
        <v>-</v>
      </c>
      <c r="G263" s="13"/>
    </row>
    <row r="264" spans="1:7" ht="14.1" customHeight="1" x14ac:dyDescent="0.25">
      <c r="A264" s="214">
        <v>71</v>
      </c>
      <c r="B264" s="215" t="s">
        <v>911</v>
      </c>
      <c r="C264" s="321">
        <v>252</v>
      </c>
      <c r="D264" s="216">
        <f>D265+D269</f>
        <v>0</v>
      </c>
      <c r="E264" s="216">
        <f>E265+E269</f>
        <v>0</v>
      </c>
      <c r="F264" s="217" t="str">
        <f t="shared" si="3"/>
        <v>-</v>
      </c>
      <c r="G264" s="13"/>
    </row>
    <row r="265" spans="1:7" ht="14.1" customHeight="1" x14ac:dyDescent="0.25">
      <c r="A265" s="214">
        <v>711</v>
      </c>
      <c r="B265" s="215" t="s">
        <v>912</v>
      </c>
      <c r="C265" s="321">
        <v>253</v>
      </c>
      <c r="D265" s="216">
        <f>SUM(D266:D268)</f>
        <v>0</v>
      </c>
      <c r="E265" s="216">
        <f>SUM(E266:E268)</f>
        <v>0</v>
      </c>
      <c r="F265" s="217" t="str">
        <f t="shared" si="3"/>
        <v>-</v>
      </c>
      <c r="G265" s="13"/>
    </row>
    <row r="266" spans="1:7" ht="14.1" customHeight="1" x14ac:dyDescent="0.25">
      <c r="A266" s="214">
        <v>7111</v>
      </c>
      <c r="B266" s="215" t="s">
        <v>913</v>
      </c>
      <c r="C266" s="321">
        <v>254</v>
      </c>
      <c r="D266" s="218">
        <v>0</v>
      </c>
      <c r="E266" s="218">
        <v>0</v>
      </c>
      <c r="F266" s="217" t="str">
        <f t="shared" si="3"/>
        <v>-</v>
      </c>
      <c r="G266" s="13"/>
    </row>
    <row r="267" spans="1:7" ht="14.1" customHeight="1" x14ac:dyDescent="0.25">
      <c r="A267" s="214">
        <v>7112</v>
      </c>
      <c r="B267" s="215" t="s">
        <v>2455</v>
      </c>
      <c r="C267" s="321">
        <v>255</v>
      </c>
      <c r="D267" s="218">
        <v>0</v>
      </c>
      <c r="E267" s="218">
        <v>0</v>
      </c>
      <c r="F267" s="217" t="str">
        <f t="shared" si="3"/>
        <v>-</v>
      </c>
      <c r="G267" s="13"/>
    </row>
    <row r="268" spans="1:7" ht="14.1" customHeight="1" x14ac:dyDescent="0.25">
      <c r="A268" s="214">
        <v>7113</v>
      </c>
      <c r="B268" s="215" t="s">
        <v>2456</v>
      </c>
      <c r="C268" s="321">
        <v>256</v>
      </c>
      <c r="D268" s="218">
        <v>0</v>
      </c>
      <c r="E268" s="218">
        <v>0</v>
      </c>
      <c r="F268" s="217" t="str">
        <f t="shared" si="3"/>
        <v>-</v>
      </c>
      <c r="G268" s="13"/>
    </row>
    <row r="269" spans="1:7" ht="14.1" customHeight="1" x14ac:dyDescent="0.25">
      <c r="A269" s="214">
        <v>712</v>
      </c>
      <c r="B269" s="215" t="s">
        <v>104</v>
      </c>
      <c r="C269" s="321">
        <v>257</v>
      </c>
      <c r="D269" s="216">
        <f>SUM(D270:D275)</f>
        <v>0</v>
      </c>
      <c r="E269" s="216">
        <f>SUM(E270:E275)</f>
        <v>0</v>
      </c>
      <c r="F269" s="217" t="str">
        <f t="shared" ref="F269:F332" si="4">IF(D269&gt;0,IF(E269/D269&gt;=100,"&gt;&gt;100",E269/D269*100),"-")</f>
        <v>-</v>
      </c>
      <c r="G269" s="13"/>
    </row>
    <row r="270" spans="1:7" ht="14.1" customHeight="1" x14ac:dyDescent="0.25">
      <c r="A270" s="214">
        <v>7121</v>
      </c>
      <c r="B270" s="215" t="s">
        <v>2457</v>
      </c>
      <c r="C270" s="321">
        <v>258</v>
      </c>
      <c r="D270" s="218">
        <v>0</v>
      </c>
      <c r="E270" s="218">
        <v>0</v>
      </c>
      <c r="F270" s="217" t="str">
        <f t="shared" si="4"/>
        <v>-</v>
      </c>
      <c r="G270" s="13"/>
    </row>
    <row r="271" spans="1:7" ht="14.1" customHeight="1" x14ac:dyDescent="0.25">
      <c r="A271" s="214">
        <v>7122</v>
      </c>
      <c r="B271" s="215" t="s">
        <v>2458</v>
      </c>
      <c r="C271" s="321">
        <v>259</v>
      </c>
      <c r="D271" s="218">
        <v>0</v>
      </c>
      <c r="E271" s="218">
        <v>0</v>
      </c>
      <c r="F271" s="217" t="str">
        <f t="shared" si="4"/>
        <v>-</v>
      </c>
      <c r="G271" s="13"/>
    </row>
    <row r="272" spans="1:7" ht="14.1" customHeight="1" x14ac:dyDescent="0.25">
      <c r="A272" s="214">
        <v>7123</v>
      </c>
      <c r="B272" s="215" t="s">
        <v>2459</v>
      </c>
      <c r="C272" s="321">
        <v>260</v>
      </c>
      <c r="D272" s="218">
        <v>0</v>
      </c>
      <c r="E272" s="218">
        <v>0</v>
      </c>
      <c r="F272" s="217" t="str">
        <f t="shared" si="4"/>
        <v>-</v>
      </c>
      <c r="G272" s="13"/>
    </row>
    <row r="273" spans="1:7" ht="14.1" customHeight="1" x14ac:dyDescent="0.25">
      <c r="A273" s="214">
        <v>7124</v>
      </c>
      <c r="B273" s="215" t="s">
        <v>2460</v>
      </c>
      <c r="C273" s="321">
        <v>261</v>
      </c>
      <c r="D273" s="218">
        <v>0</v>
      </c>
      <c r="E273" s="218">
        <v>0</v>
      </c>
      <c r="F273" s="217" t="str">
        <f t="shared" si="4"/>
        <v>-</v>
      </c>
      <c r="G273" s="13"/>
    </row>
    <row r="274" spans="1:7" ht="14.1" customHeight="1" x14ac:dyDescent="0.25">
      <c r="A274" s="214">
        <v>7125</v>
      </c>
      <c r="B274" s="215" t="s">
        <v>2461</v>
      </c>
      <c r="C274" s="321">
        <v>262</v>
      </c>
      <c r="D274" s="218">
        <v>0</v>
      </c>
      <c r="E274" s="218">
        <v>0</v>
      </c>
      <c r="F274" s="217" t="str">
        <f t="shared" si="4"/>
        <v>-</v>
      </c>
      <c r="G274" s="13"/>
    </row>
    <row r="275" spans="1:7" ht="14.1" customHeight="1" x14ac:dyDescent="0.25">
      <c r="A275" s="214">
        <v>7126</v>
      </c>
      <c r="B275" s="215" t="s">
        <v>3700</v>
      </c>
      <c r="C275" s="321">
        <v>263</v>
      </c>
      <c r="D275" s="218">
        <v>0</v>
      </c>
      <c r="E275" s="218">
        <v>0</v>
      </c>
      <c r="F275" s="217" t="str">
        <f t="shared" si="4"/>
        <v>-</v>
      </c>
      <c r="G275" s="13"/>
    </row>
    <row r="276" spans="1:7" ht="14.1" customHeight="1" x14ac:dyDescent="0.25">
      <c r="A276" s="214">
        <v>72</v>
      </c>
      <c r="B276" s="215" t="s">
        <v>105</v>
      </c>
      <c r="C276" s="321">
        <v>264</v>
      </c>
      <c r="D276" s="216">
        <f>D277+D282+D290+D295+D300+D303</f>
        <v>0</v>
      </c>
      <c r="E276" s="216">
        <f>E277+E282+E290+E295+E300+E303</f>
        <v>0</v>
      </c>
      <c r="F276" s="217" t="str">
        <f t="shared" si="4"/>
        <v>-</v>
      </c>
      <c r="G276" s="13"/>
    </row>
    <row r="277" spans="1:7" ht="14.1" customHeight="1" x14ac:dyDescent="0.25">
      <c r="A277" s="214">
        <v>721</v>
      </c>
      <c r="B277" s="215" t="s">
        <v>106</v>
      </c>
      <c r="C277" s="321">
        <v>265</v>
      </c>
      <c r="D277" s="216">
        <f>SUM(D278:D281)</f>
        <v>0</v>
      </c>
      <c r="E277" s="216">
        <f>SUM(E278:E281)</f>
        <v>0</v>
      </c>
      <c r="F277" s="217" t="str">
        <f t="shared" si="4"/>
        <v>-</v>
      </c>
      <c r="G277" s="13"/>
    </row>
    <row r="278" spans="1:7" ht="14.1" customHeight="1" x14ac:dyDescent="0.25">
      <c r="A278" s="214">
        <v>7211</v>
      </c>
      <c r="B278" s="215" t="s">
        <v>2386</v>
      </c>
      <c r="C278" s="321">
        <v>266</v>
      </c>
      <c r="D278" s="218">
        <v>0</v>
      </c>
      <c r="E278" s="218">
        <v>0</v>
      </c>
      <c r="F278" s="217" t="str">
        <f t="shared" si="4"/>
        <v>-</v>
      </c>
      <c r="G278" s="13"/>
    </row>
    <row r="279" spans="1:7" ht="14.1" customHeight="1" x14ac:dyDescent="0.25">
      <c r="A279" s="214">
        <v>7212</v>
      </c>
      <c r="B279" s="215" t="s">
        <v>2387</v>
      </c>
      <c r="C279" s="321">
        <v>267</v>
      </c>
      <c r="D279" s="218">
        <v>0</v>
      </c>
      <c r="E279" s="218">
        <v>0</v>
      </c>
      <c r="F279" s="217" t="str">
        <f t="shared" si="4"/>
        <v>-</v>
      </c>
      <c r="G279" s="13"/>
    </row>
    <row r="280" spans="1:7" ht="14.1" customHeight="1" x14ac:dyDescent="0.25">
      <c r="A280" s="214">
        <v>7213</v>
      </c>
      <c r="B280" s="215" t="s">
        <v>107</v>
      </c>
      <c r="C280" s="321">
        <v>268</v>
      </c>
      <c r="D280" s="218">
        <v>0</v>
      </c>
      <c r="E280" s="218">
        <v>0</v>
      </c>
      <c r="F280" s="217" t="str">
        <f t="shared" si="4"/>
        <v>-</v>
      </c>
      <c r="G280" s="13"/>
    </row>
    <row r="281" spans="1:7" ht="14.1" customHeight="1" x14ac:dyDescent="0.25">
      <c r="A281" s="214">
        <v>7214</v>
      </c>
      <c r="B281" s="215" t="s">
        <v>2388</v>
      </c>
      <c r="C281" s="321">
        <v>269</v>
      </c>
      <c r="D281" s="218">
        <v>0</v>
      </c>
      <c r="E281" s="218">
        <v>0</v>
      </c>
      <c r="F281" s="217" t="str">
        <f t="shared" si="4"/>
        <v>-</v>
      </c>
      <c r="G281" s="13"/>
    </row>
    <row r="282" spans="1:7" ht="14.1" customHeight="1" x14ac:dyDescent="0.25">
      <c r="A282" s="214">
        <v>722</v>
      </c>
      <c r="B282" s="215" t="s">
        <v>108</v>
      </c>
      <c r="C282" s="321">
        <v>270</v>
      </c>
      <c r="D282" s="216">
        <f>SUM(D283:D289)</f>
        <v>0</v>
      </c>
      <c r="E282" s="216">
        <f>SUM(E283:E289)</f>
        <v>0</v>
      </c>
      <c r="F282" s="217" t="str">
        <f t="shared" si="4"/>
        <v>-</v>
      </c>
      <c r="G282" s="13"/>
    </row>
    <row r="283" spans="1:7" ht="14.1" customHeight="1" x14ac:dyDescent="0.25">
      <c r="A283" s="214">
        <v>7221</v>
      </c>
      <c r="B283" s="215" t="s">
        <v>1846</v>
      </c>
      <c r="C283" s="321">
        <v>271</v>
      </c>
      <c r="D283" s="218">
        <v>0</v>
      </c>
      <c r="E283" s="218">
        <v>0</v>
      </c>
      <c r="F283" s="217" t="str">
        <f t="shared" si="4"/>
        <v>-</v>
      </c>
      <c r="G283" s="13"/>
    </row>
    <row r="284" spans="1:7" ht="14.1" customHeight="1" x14ac:dyDescent="0.25">
      <c r="A284" s="214">
        <v>7222</v>
      </c>
      <c r="B284" s="215" t="s">
        <v>1847</v>
      </c>
      <c r="C284" s="321">
        <v>272</v>
      </c>
      <c r="D284" s="218">
        <v>0</v>
      </c>
      <c r="E284" s="218">
        <v>0</v>
      </c>
      <c r="F284" s="217" t="str">
        <f t="shared" si="4"/>
        <v>-</v>
      </c>
      <c r="G284" s="13"/>
    </row>
    <row r="285" spans="1:7" ht="14.1" customHeight="1" x14ac:dyDescent="0.25">
      <c r="A285" s="214">
        <v>7223</v>
      </c>
      <c r="B285" s="215" t="s">
        <v>1848</v>
      </c>
      <c r="C285" s="321">
        <v>273</v>
      </c>
      <c r="D285" s="218">
        <v>0</v>
      </c>
      <c r="E285" s="218">
        <v>0</v>
      </c>
      <c r="F285" s="217" t="str">
        <f t="shared" si="4"/>
        <v>-</v>
      </c>
      <c r="G285" s="13"/>
    </row>
    <row r="286" spans="1:7" ht="14.1" customHeight="1" x14ac:dyDescent="0.25">
      <c r="A286" s="214">
        <v>7224</v>
      </c>
      <c r="B286" s="215" t="s">
        <v>1849</v>
      </c>
      <c r="C286" s="321">
        <v>274</v>
      </c>
      <c r="D286" s="218">
        <v>0</v>
      </c>
      <c r="E286" s="218">
        <v>0</v>
      </c>
      <c r="F286" s="217" t="str">
        <f t="shared" si="4"/>
        <v>-</v>
      </c>
      <c r="G286" s="13"/>
    </row>
    <row r="287" spans="1:7" ht="14.1" customHeight="1" x14ac:dyDescent="0.25">
      <c r="A287" s="214">
        <v>7225</v>
      </c>
      <c r="B287" s="215" t="s">
        <v>1850</v>
      </c>
      <c r="C287" s="321">
        <v>275</v>
      </c>
      <c r="D287" s="218">
        <v>0</v>
      </c>
      <c r="E287" s="218">
        <v>0</v>
      </c>
      <c r="F287" s="217" t="str">
        <f t="shared" si="4"/>
        <v>-</v>
      </c>
      <c r="G287" s="13"/>
    </row>
    <row r="288" spans="1:7" ht="14.1" customHeight="1" x14ac:dyDescent="0.25">
      <c r="A288" s="214">
        <v>7226</v>
      </c>
      <c r="B288" s="215" t="s">
        <v>1851</v>
      </c>
      <c r="C288" s="321">
        <v>276</v>
      </c>
      <c r="D288" s="218">
        <v>0</v>
      </c>
      <c r="E288" s="218">
        <v>0</v>
      </c>
      <c r="F288" s="217" t="str">
        <f t="shared" si="4"/>
        <v>-</v>
      </c>
      <c r="G288" s="13"/>
    </row>
    <row r="289" spans="1:7" ht="14.1" customHeight="1" x14ac:dyDescent="0.25">
      <c r="A289" s="214">
        <v>7227</v>
      </c>
      <c r="B289" s="215" t="s">
        <v>1852</v>
      </c>
      <c r="C289" s="321">
        <v>277</v>
      </c>
      <c r="D289" s="218">
        <v>0</v>
      </c>
      <c r="E289" s="218">
        <v>0</v>
      </c>
      <c r="F289" s="217" t="str">
        <f t="shared" si="4"/>
        <v>-</v>
      </c>
      <c r="G289" s="13"/>
    </row>
    <row r="290" spans="1:7" ht="14.1" customHeight="1" x14ac:dyDescent="0.25">
      <c r="A290" s="214">
        <v>723</v>
      </c>
      <c r="B290" s="219" t="s">
        <v>109</v>
      </c>
      <c r="C290" s="321">
        <v>278</v>
      </c>
      <c r="D290" s="216">
        <f>SUM(D291:D294)</f>
        <v>0</v>
      </c>
      <c r="E290" s="216">
        <f>SUM(E291:E294)</f>
        <v>0</v>
      </c>
      <c r="F290" s="217" t="str">
        <f t="shared" si="4"/>
        <v>-</v>
      </c>
      <c r="G290" s="13"/>
    </row>
    <row r="291" spans="1:7" ht="14.1" customHeight="1" x14ac:dyDescent="0.25">
      <c r="A291" s="214">
        <v>7231</v>
      </c>
      <c r="B291" s="215" t="s">
        <v>1853</v>
      </c>
      <c r="C291" s="321">
        <v>279</v>
      </c>
      <c r="D291" s="218">
        <v>0</v>
      </c>
      <c r="E291" s="218">
        <v>0</v>
      </c>
      <c r="F291" s="217" t="str">
        <f t="shared" si="4"/>
        <v>-</v>
      </c>
      <c r="G291" s="13"/>
    </row>
    <row r="292" spans="1:7" ht="14.1" customHeight="1" x14ac:dyDescent="0.25">
      <c r="A292" s="214">
        <v>7232</v>
      </c>
      <c r="B292" s="215" t="s">
        <v>1854</v>
      </c>
      <c r="C292" s="321">
        <v>280</v>
      </c>
      <c r="D292" s="218">
        <v>0</v>
      </c>
      <c r="E292" s="218">
        <v>0</v>
      </c>
      <c r="F292" s="217" t="str">
        <f t="shared" si="4"/>
        <v>-</v>
      </c>
      <c r="G292" s="13"/>
    </row>
    <row r="293" spans="1:7" ht="14.1" customHeight="1" x14ac:dyDescent="0.25">
      <c r="A293" s="214">
        <v>7233</v>
      </c>
      <c r="B293" s="215" t="s">
        <v>4464</v>
      </c>
      <c r="C293" s="321">
        <v>281</v>
      </c>
      <c r="D293" s="218">
        <v>0</v>
      </c>
      <c r="E293" s="218">
        <v>0</v>
      </c>
      <c r="F293" s="217" t="str">
        <f t="shared" si="4"/>
        <v>-</v>
      </c>
      <c r="G293" s="13"/>
    </row>
    <row r="294" spans="1:7" ht="14.1" customHeight="1" x14ac:dyDescent="0.25">
      <c r="A294" s="214">
        <v>7234</v>
      </c>
      <c r="B294" s="219" t="s">
        <v>1538</v>
      </c>
      <c r="C294" s="321">
        <v>282</v>
      </c>
      <c r="D294" s="218">
        <v>0</v>
      </c>
      <c r="E294" s="218">
        <v>0</v>
      </c>
      <c r="F294" s="217" t="str">
        <f t="shared" si="4"/>
        <v>-</v>
      </c>
      <c r="G294" s="13"/>
    </row>
    <row r="295" spans="1:7" ht="14.1" customHeight="1" x14ac:dyDescent="0.25">
      <c r="A295" s="214">
        <v>724</v>
      </c>
      <c r="B295" s="219" t="s">
        <v>110</v>
      </c>
      <c r="C295" s="321">
        <v>283</v>
      </c>
      <c r="D295" s="216">
        <f>SUM(D296:D299)</f>
        <v>0</v>
      </c>
      <c r="E295" s="216">
        <f>SUM(E296:E299)</f>
        <v>0</v>
      </c>
      <c r="F295" s="217" t="str">
        <f t="shared" si="4"/>
        <v>-</v>
      </c>
      <c r="G295" s="13"/>
    </row>
    <row r="296" spans="1:7" ht="14.1" customHeight="1" x14ac:dyDescent="0.25">
      <c r="A296" s="214">
        <v>7241</v>
      </c>
      <c r="B296" s="215" t="s">
        <v>111</v>
      </c>
      <c r="C296" s="321">
        <v>284</v>
      </c>
      <c r="D296" s="218">
        <v>0</v>
      </c>
      <c r="E296" s="218">
        <v>0</v>
      </c>
      <c r="F296" s="217" t="str">
        <f t="shared" si="4"/>
        <v>-</v>
      </c>
      <c r="G296" s="13"/>
    </row>
    <row r="297" spans="1:7" ht="14.1" customHeight="1" x14ac:dyDescent="0.25">
      <c r="A297" s="214">
        <v>7242</v>
      </c>
      <c r="B297" s="215" t="s">
        <v>112</v>
      </c>
      <c r="C297" s="321">
        <v>285</v>
      </c>
      <c r="D297" s="218">
        <v>0</v>
      </c>
      <c r="E297" s="218">
        <v>0</v>
      </c>
      <c r="F297" s="217" t="str">
        <f t="shared" si="4"/>
        <v>-</v>
      </c>
      <c r="G297" s="13"/>
    </row>
    <row r="298" spans="1:7" ht="14.1" customHeight="1" x14ac:dyDescent="0.25">
      <c r="A298" s="214">
        <v>7243</v>
      </c>
      <c r="B298" s="215" t="s">
        <v>3438</v>
      </c>
      <c r="C298" s="321">
        <v>286</v>
      </c>
      <c r="D298" s="218">
        <v>0</v>
      </c>
      <c r="E298" s="218">
        <v>0</v>
      </c>
      <c r="F298" s="217" t="str">
        <f t="shared" si="4"/>
        <v>-</v>
      </c>
      <c r="G298" s="13"/>
    </row>
    <row r="299" spans="1:7" ht="14.1" customHeight="1" x14ac:dyDescent="0.25">
      <c r="A299" s="214">
        <v>7244</v>
      </c>
      <c r="B299" s="215" t="s">
        <v>3439</v>
      </c>
      <c r="C299" s="321">
        <v>287</v>
      </c>
      <c r="D299" s="218">
        <v>0</v>
      </c>
      <c r="E299" s="218">
        <v>0</v>
      </c>
      <c r="F299" s="217" t="str">
        <f t="shared" si="4"/>
        <v>-</v>
      </c>
      <c r="G299" s="13"/>
    </row>
    <row r="300" spans="1:7" ht="14.1" customHeight="1" x14ac:dyDescent="0.25">
      <c r="A300" s="214">
        <v>725</v>
      </c>
      <c r="B300" s="215" t="s">
        <v>113</v>
      </c>
      <c r="C300" s="321">
        <v>288</v>
      </c>
      <c r="D300" s="216">
        <f>SUM(D301:D302)</f>
        <v>0</v>
      </c>
      <c r="E300" s="216">
        <f>SUM(E301:E302)</f>
        <v>0</v>
      </c>
      <c r="F300" s="217" t="str">
        <f t="shared" si="4"/>
        <v>-</v>
      </c>
      <c r="G300" s="13"/>
    </row>
    <row r="301" spans="1:7" ht="14.1" customHeight="1" x14ac:dyDescent="0.25">
      <c r="A301" s="214">
        <v>7251</v>
      </c>
      <c r="B301" s="215" t="s">
        <v>3440</v>
      </c>
      <c r="C301" s="321">
        <v>289</v>
      </c>
      <c r="D301" s="218">
        <v>0</v>
      </c>
      <c r="E301" s="218">
        <v>0</v>
      </c>
      <c r="F301" s="217" t="str">
        <f t="shared" si="4"/>
        <v>-</v>
      </c>
      <c r="G301" s="13"/>
    </row>
    <row r="302" spans="1:7" ht="14.1" customHeight="1" x14ac:dyDescent="0.25">
      <c r="A302" s="214">
        <v>7252</v>
      </c>
      <c r="B302" s="215" t="s">
        <v>1249</v>
      </c>
      <c r="C302" s="321">
        <v>290</v>
      </c>
      <c r="D302" s="218">
        <v>0</v>
      </c>
      <c r="E302" s="218">
        <v>0</v>
      </c>
      <c r="F302" s="217" t="str">
        <f t="shared" si="4"/>
        <v>-</v>
      </c>
      <c r="G302" s="13"/>
    </row>
    <row r="303" spans="1:7" ht="14.1" customHeight="1" x14ac:dyDescent="0.25">
      <c r="A303" s="214">
        <v>726</v>
      </c>
      <c r="B303" s="215" t="s">
        <v>114</v>
      </c>
      <c r="C303" s="321">
        <v>291</v>
      </c>
      <c r="D303" s="216">
        <f>SUM(D304:D307)</f>
        <v>0</v>
      </c>
      <c r="E303" s="216">
        <f>SUM(E304:E307)</f>
        <v>0</v>
      </c>
      <c r="F303" s="217" t="str">
        <f t="shared" si="4"/>
        <v>-</v>
      </c>
      <c r="G303" s="13"/>
    </row>
    <row r="304" spans="1:7" ht="14.1" customHeight="1" x14ac:dyDescent="0.25">
      <c r="A304" s="214">
        <v>7261</v>
      </c>
      <c r="B304" s="215" t="s">
        <v>115</v>
      </c>
      <c r="C304" s="321">
        <v>292</v>
      </c>
      <c r="D304" s="218">
        <v>0</v>
      </c>
      <c r="E304" s="218">
        <v>0</v>
      </c>
      <c r="F304" s="217" t="str">
        <f t="shared" si="4"/>
        <v>-</v>
      </c>
      <c r="G304" s="13"/>
    </row>
    <row r="305" spans="1:7" ht="14.1" customHeight="1" x14ac:dyDescent="0.25">
      <c r="A305" s="214">
        <v>7262</v>
      </c>
      <c r="B305" s="215" t="s">
        <v>2128</v>
      </c>
      <c r="C305" s="321">
        <v>293</v>
      </c>
      <c r="D305" s="218">
        <v>0</v>
      </c>
      <c r="E305" s="218">
        <v>0</v>
      </c>
      <c r="F305" s="217" t="str">
        <f t="shared" si="4"/>
        <v>-</v>
      </c>
      <c r="G305" s="13"/>
    </row>
    <row r="306" spans="1:7" ht="14.1" customHeight="1" x14ac:dyDescent="0.25">
      <c r="A306" s="214">
        <v>7263</v>
      </c>
      <c r="B306" s="215" t="s">
        <v>2129</v>
      </c>
      <c r="C306" s="321">
        <v>294</v>
      </c>
      <c r="D306" s="218">
        <v>0</v>
      </c>
      <c r="E306" s="218">
        <v>0</v>
      </c>
      <c r="F306" s="217" t="str">
        <f t="shared" si="4"/>
        <v>-</v>
      </c>
      <c r="G306" s="13"/>
    </row>
    <row r="307" spans="1:7" ht="14.1" customHeight="1" x14ac:dyDescent="0.25">
      <c r="A307" s="214">
        <v>7264</v>
      </c>
      <c r="B307" s="215" t="s">
        <v>2130</v>
      </c>
      <c r="C307" s="321">
        <v>295</v>
      </c>
      <c r="D307" s="218">
        <v>0</v>
      </c>
      <c r="E307" s="218">
        <v>0</v>
      </c>
      <c r="F307" s="217" t="str">
        <f t="shared" si="4"/>
        <v>-</v>
      </c>
      <c r="G307" s="13"/>
    </row>
    <row r="308" spans="1:7" ht="14.1" customHeight="1" x14ac:dyDescent="0.25">
      <c r="A308" s="214">
        <v>73</v>
      </c>
      <c r="B308" s="215" t="s">
        <v>116</v>
      </c>
      <c r="C308" s="321">
        <v>296</v>
      </c>
      <c r="D308" s="216">
        <f>D309</f>
        <v>0</v>
      </c>
      <c r="E308" s="216">
        <f>E309</f>
        <v>0</v>
      </c>
      <c r="F308" s="217" t="str">
        <f t="shared" si="4"/>
        <v>-</v>
      </c>
      <c r="G308" s="13"/>
    </row>
    <row r="309" spans="1:7" ht="14.1" customHeight="1" x14ac:dyDescent="0.25">
      <c r="A309" s="214">
        <v>731</v>
      </c>
      <c r="B309" s="215" t="s">
        <v>117</v>
      </c>
      <c r="C309" s="321">
        <v>297</v>
      </c>
      <c r="D309" s="216">
        <f>SUM(D310:D311)</f>
        <v>0</v>
      </c>
      <c r="E309" s="216">
        <f>SUM(E310:E311)</f>
        <v>0</v>
      </c>
      <c r="F309" s="217" t="str">
        <f t="shared" si="4"/>
        <v>-</v>
      </c>
      <c r="G309" s="13"/>
    </row>
    <row r="310" spans="1:7" ht="14.1" customHeight="1" x14ac:dyDescent="0.25">
      <c r="A310" s="214">
        <v>7311</v>
      </c>
      <c r="B310" s="215" t="s">
        <v>2131</v>
      </c>
      <c r="C310" s="321">
        <v>298</v>
      </c>
      <c r="D310" s="218">
        <v>0</v>
      </c>
      <c r="E310" s="218">
        <v>0</v>
      </c>
      <c r="F310" s="217" t="str">
        <f t="shared" si="4"/>
        <v>-</v>
      </c>
      <c r="G310" s="13"/>
    </row>
    <row r="311" spans="1:7" ht="14.1" customHeight="1" x14ac:dyDescent="0.25">
      <c r="A311" s="214">
        <v>7312</v>
      </c>
      <c r="B311" s="215" t="s">
        <v>2132</v>
      </c>
      <c r="C311" s="321">
        <v>299</v>
      </c>
      <c r="D311" s="218">
        <v>0</v>
      </c>
      <c r="E311" s="218">
        <v>0</v>
      </c>
      <c r="F311" s="217" t="str">
        <f t="shared" si="4"/>
        <v>-</v>
      </c>
      <c r="G311" s="13"/>
    </row>
    <row r="312" spans="1:7" ht="14.1" customHeight="1" x14ac:dyDescent="0.25">
      <c r="A312" s="214">
        <v>74</v>
      </c>
      <c r="B312" s="215" t="s">
        <v>118</v>
      </c>
      <c r="C312" s="321">
        <v>300</v>
      </c>
      <c r="D312" s="216">
        <f>D313</f>
        <v>0</v>
      </c>
      <c r="E312" s="216">
        <f>E313</f>
        <v>0</v>
      </c>
      <c r="F312" s="217" t="str">
        <f t="shared" si="4"/>
        <v>-</v>
      </c>
      <c r="G312" s="13"/>
    </row>
    <row r="313" spans="1:7" ht="14.1" customHeight="1" x14ac:dyDescent="0.25">
      <c r="A313" s="214">
        <v>741</v>
      </c>
      <c r="B313" s="215" t="s">
        <v>119</v>
      </c>
      <c r="C313" s="321">
        <v>301</v>
      </c>
      <c r="D313" s="216">
        <f>D314</f>
        <v>0</v>
      </c>
      <c r="E313" s="216">
        <f>E314</f>
        <v>0</v>
      </c>
      <c r="F313" s="217" t="str">
        <f t="shared" si="4"/>
        <v>-</v>
      </c>
      <c r="G313" s="13"/>
    </row>
    <row r="314" spans="1:7" ht="14.1" customHeight="1" x14ac:dyDescent="0.25">
      <c r="A314" s="214">
        <v>7411</v>
      </c>
      <c r="B314" s="215" t="s">
        <v>694</v>
      </c>
      <c r="C314" s="321">
        <v>302</v>
      </c>
      <c r="D314" s="218">
        <v>0</v>
      </c>
      <c r="E314" s="218">
        <v>0</v>
      </c>
      <c r="F314" s="217" t="str">
        <f t="shared" si="4"/>
        <v>-</v>
      </c>
      <c r="G314" s="13"/>
    </row>
    <row r="315" spans="1:7" ht="14.1" customHeight="1" x14ac:dyDescent="0.25">
      <c r="A315" s="214">
        <v>4</v>
      </c>
      <c r="B315" s="215" t="s">
        <v>120</v>
      </c>
      <c r="C315" s="321">
        <v>303</v>
      </c>
      <c r="D315" s="216">
        <f>D316+D330+D364+D370+D373</f>
        <v>58235</v>
      </c>
      <c r="E315" s="216">
        <f>E316+E330+E364+E370+E373</f>
        <v>77031</v>
      </c>
      <c r="F315" s="217">
        <f t="shared" si="4"/>
        <v>132.27612260667982</v>
      </c>
      <c r="G315" s="13"/>
    </row>
    <row r="316" spans="1:7" ht="14.1" customHeight="1" x14ac:dyDescent="0.25">
      <c r="A316" s="214">
        <v>41</v>
      </c>
      <c r="B316" s="215" t="s">
        <v>121</v>
      </c>
      <c r="C316" s="321">
        <v>304</v>
      </c>
      <c r="D316" s="216">
        <f>D317+D321+D328</f>
        <v>38700</v>
      </c>
      <c r="E316" s="216">
        <f>E317+E321+E328</f>
        <v>69413</v>
      </c>
      <c r="F316" s="217">
        <f t="shared" si="4"/>
        <v>179.36175710594316</v>
      </c>
      <c r="G316" s="13"/>
    </row>
    <row r="317" spans="1:7" ht="14.1" customHeight="1" x14ac:dyDescent="0.25">
      <c r="A317" s="214">
        <v>411</v>
      </c>
      <c r="B317" s="215" t="s">
        <v>122</v>
      </c>
      <c r="C317" s="321">
        <v>305</v>
      </c>
      <c r="D317" s="216">
        <f>SUM(D318:D320)</f>
        <v>0</v>
      </c>
      <c r="E317" s="216">
        <f>SUM(E318:E320)</f>
        <v>0</v>
      </c>
      <c r="F317" s="217" t="str">
        <f t="shared" si="4"/>
        <v>-</v>
      </c>
      <c r="G317" s="13"/>
    </row>
    <row r="318" spans="1:7" ht="14.1" customHeight="1" x14ac:dyDescent="0.25">
      <c r="A318" s="214">
        <v>4111</v>
      </c>
      <c r="B318" s="215" t="s">
        <v>913</v>
      </c>
      <c r="C318" s="321">
        <v>306</v>
      </c>
      <c r="D318" s="218">
        <v>0</v>
      </c>
      <c r="E318" s="218">
        <v>0</v>
      </c>
      <c r="F318" s="217" t="str">
        <f t="shared" si="4"/>
        <v>-</v>
      </c>
      <c r="G318" s="13"/>
    </row>
    <row r="319" spans="1:7" ht="14.1" customHeight="1" x14ac:dyDescent="0.25">
      <c r="A319" s="214">
        <v>4112</v>
      </c>
      <c r="B319" s="215" t="s">
        <v>2455</v>
      </c>
      <c r="C319" s="321">
        <v>307</v>
      </c>
      <c r="D319" s="218">
        <v>0</v>
      </c>
      <c r="E319" s="218">
        <v>0</v>
      </c>
      <c r="F319" s="217" t="str">
        <f t="shared" si="4"/>
        <v>-</v>
      </c>
      <c r="G319" s="13"/>
    </row>
    <row r="320" spans="1:7" ht="14.1" customHeight="1" x14ac:dyDescent="0.25">
      <c r="A320" s="214">
        <v>4113</v>
      </c>
      <c r="B320" s="215" t="s">
        <v>699</v>
      </c>
      <c r="C320" s="321">
        <v>308</v>
      </c>
      <c r="D320" s="218">
        <v>0</v>
      </c>
      <c r="E320" s="218">
        <v>0</v>
      </c>
      <c r="F320" s="217" t="str">
        <f t="shared" si="4"/>
        <v>-</v>
      </c>
      <c r="G320" s="13"/>
    </row>
    <row r="321" spans="1:7" ht="14.1" customHeight="1" x14ac:dyDescent="0.25">
      <c r="A321" s="214">
        <v>412</v>
      </c>
      <c r="B321" s="215" t="s">
        <v>123</v>
      </c>
      <c r="C321" s="321">
        <v>309</v>
      </c>
      <c r="D321" s="216">
        <f>SUM(D322:D327)</f>
        <v>38700</v>
      </c>
      <c r="E321" s="216">
        <f>SUM(E322:E327)</f>
        <v>69413</v>
      </c>
      <c r="F321" s="217">
        <f t="shared" si="4"/>
        <v>179.36175710594316</v>
      </c>
      <c r="G321" s="13"/>
    </row>
    <row r="322" spans="1:7" ht="14.1" customHeight="1" x14ac:dyDescent="0.25">
      <c r="A322" s="214">
        <v>4121</v>
      </c>
      <c r="B322" s="215" t="s">
        <v>2457</v>
      </c>
      <c r="C322" s="321">
        <v>310</v>
      </c>
      <c r="D322" s="218">
        <v>0</v>
      </c>
      <c r="E322" s="218">
        <v>0</v>
      </c>
      <c r="F322" s="217" t="str">
        <f t="shared" si="4"/>
        <v>-</v>
      </c>
      <c r="G322" s="13"/>
    </row>
    <row r="323" spans="1:7" ht="14.1" customHeight="1" x14ac:dyDescent="0.25">
      <c r="A323" s="214">
        <v>4122</v>
      </c>
      <c r="B323" s="215" t="s">
        <v>2458</v>
      </c>
      <c r="C323" s="321">
        <v>311</v>
      </c>
      <c r="D323" s="218">
        <v>0</v>
      </c>
      <c r="E323" s="218">
        <v>0</v>
      </c>
      <c r="F323" s="217" t="str">
        <f t="shared" si="4"/>
        <v>-</v>
      </c>
      <c r="G323" s="13"/>
    </row>
    <row r="324" spans="1:7" ht="14.1" customHeight="1" x14ac:dyDescent="0.25">
      <c r="A324" s="214">
        <v>4123</v>
      </c>
      <c r="B324" s="215" t="s">
        <v>2459</v>
      </c>
      <c r="C324" s="321">
        <v>312</v>
      </c>
      <c r="D324" s="218">
        <v>0</v>
      </c>
      <c r="E324" s="218">
        <v>0</v>
      </c>
      <c r="F324" s="217" t="str">
        <f t="shared" si="4"/>
        <v>-</v>
      </c>
      <c r="G324" s="13"/>
    </row>
    <row r="325" spans="1:7" ht="14.1" customHeight="1" x14ac:dyDescent="0.25">
      <c r="A325" s="214">
        <v>4124</v>
      </c>
      <c r="B325" s="215" t="s">
        <v>2460</v>
      </c>
      <c r="C325" s="321">
        <v>313</v>
      </c>
      <c r="D325" s="218">
        <v>0</v>
      </c>
      <c r="E325" s="218">
        <v>0</v>
      </c>
      <c r="F325" s="217" t="str">
        <f t="shared" si="4"/>
        <v>-</v>
      </c>
      <c r="G325" s="13"/>
    </row>
    <row r="326" spans="1:7" ht="14.1" customHeight="1" x14ac:dyDescent="0.25">
      <c r="A326" s="214">
        <v>4125</v>
      </c>
      <c r="B326" s="215" t="s">
        <v>2461</v>
      </c>
      <c r="C326" s="321">
        <v>314</v>
      </c>
      <c r="D326" s="218">
        <v>0</v>
      </c>
      <c r="E326" s="218">
        <v>0</v>
      </c>
      <c r="F326" s="217" t="str">
        <f t="shared" si="4"/>
        <v>-</v>
      </c>
      <c r="G326" s="13"/>
    </row>
    <row r="327" spans="1:7" ht="14.1" customHeight="1" x14ac:dyDescent="0.25">
      <c r="A327" s="214">
        <v>4126</v>
      </c>
      <c r="B327" s="215" t="s">
        <v>3700</v>
      </c>
      <c r="C327" s="321">
        <v>315</v>
      </c>
      <c r="D327" s="218">
        <v>38700</v>
      </c>
      <c r="E327" s="218">
        <v>69413</v>
      </c>
      <c r="F327" s="217">
        <f t="shared" si="4"/>
        <v>179.36175710594316</v>
      </c>
      <c r="G327" s="13"/>
    </row>
    <row r="328" spans="1:7" ht="14.1" customHeight="1" x14ac:dyDescent="0.25">
      <c r="A328" s="214">
        <v>418</v>
      </c>
      <c r="B328" s="215" t="s">
        <v>124</v>
      </c>
      <c r="C328" s="321">
        <v>316</v>
      </c>
      <c r="D328" s="216">
        <f>D329</f>
        <v>0</v>
      </c>
      <c r="E328" s="216">
        <f>E329</f>
        <v>0</v>
      </c>
      <c r="F328" s="217" t="str">
        <f t="shared" si="4"/>
        <v>-</v>
      </c>
      <c r="G328" s="13"/>
    </row>
    <row r="329" spans="1:7" ht="14.1" customHeight="1" x14ac:dyDescent="0.25">
      <c r="A329" s="214">
        <v>4181</v>
      </c>
      <c r="B329" s="215" t="s">
        <v>701</v>
      </c>
      <c r="C329" s="321">
        <v>317</v>
      </c>
      <c r="D329" s="218">
        <v>0</v>
      </c>
      <c r="E329" s="218">
        <v>0</v>
      </c>
      <c r="F329" s="217" t="str">
        <f t="shared" si="4"/>
        <v>-</v>
      </c>
      <c r="G329" s="13"/>
    </row>
    <row r="330" spans="1:7" ht="14.1" customHeight="1" x14ac:dyDescent="0.25">
      <c r="A330" s="214">
        <v>42</v>
      </c>
      <c r="B330" s="219" t="s">
        <v>125</v>
      </c>
      <c r="C330" s="321">
        <v>318</v>
      </c>
      <c r="D330" s="216">
        <f>D331+D336+D344+D349+D354+D357+D362</f>
        <v>19535</v>
      </c>
      <c r="E330" s="216">
        <f>E331+E336+E344+E349+E354+E357+E362</f>
        <v>7618</v>
      </c>
      <c r="F330" s="217">
        <f t="shared" si="4"/>
        <v>38.99667263885334</v>
      </c>
      <c r="G330" s="13"/>
    </row>
    <row r="331" spans="1:7" ht="14.1" customHeight="1" x14ac:dyDescent="0.25">
      <c r="A331" s="214">
        <v>421</v>
      </c>
      <c r="B331" s="215" t="s">
        <v>126</v>
      </c>
      <c r="C331" s="321">
        <v>319</v>
      </c>
      <c r="D331" s="216">
        <f>SUM(D332:D335)</f>
        <v>0</v>
      </c>
      <c r="E331" s="216">
        <f>SUM(E332:E335)</f>
        <v>0</v>
      </c>
      <c r="F331" s="217" t="str">
        <f t="shared" si="4"/>
        <v>-</v>
      </c>
      <c r="G331" s="13"/>
    </row>
    <row r="332" spans="1:7" ht="14.1" customHeight="1" x14ac:dyDescent="0.25">
      <c r="A332" s="214">
        <v>4211</v>
      </c>
      <c r="B332" s="215" t="s">
        <v>2386</v>
      </c>
      <c r="C332" s="321">
        <v>320</v>
      </c>
      <c r="D332" s="218">
        <v>0</v>
      </c>
      <c r="E332" s="218">
        <v>0</v>
      </c>
      <c r="F332" s="217" t="str">
        <f t="shared" si="4"/>
        <v>-</v>
      </c>
      <c r="G332" s="13"/>
    </row>
    <row r="333" spans="1:7" ht="14.1" customHeight="1" x14ac:dyDescent="0.25">
      <c r="A333" s="214">
        <v>4212</v>
      </c>
      <c r="B333" s="215" t="s">
        <v>2387</v>
      </c>
      <c r="C333" s="321">
        <v>321</v>
      </c>
      <c r="D333" s="218">
        <v>0</v>
      </c>
      <c r="E333" s="218">
        <v>0</v>
      </c>
      <c r="F333" s="217" t="str">
        <f t="shared" ref="F333:F395" si="5">IF(D333&gt;0,IF(E333/D333&gt;=100,"&gt;&gt;100",E333/D333*100),"-")</f>
        <v>-</v>
      </c>
      <c r="G333" s="13"/>
    </row>
    <row r="334" spans="1:7" ht="14.1" customHeight="1" x14ac:dyDescent="0.25">
      <c r="A334" s="214">
        <v>4213</v>
      </c>
      <c r="B334" s="215" t="s">
        <v>107</v>
      </c>
      <c r="C334" s="321">
        <v>322</v>
      </c>
      <c r="D334" s="218">
        <v>0</v>
      </c>
      <c r="E334" s="218">
        <v>0</v>
      </c>
      <c r="F334" s="217" t="str">
        <f t="shared" si="5"/>
        <v>-</v>
      </c>
      <c r="G334" s="13"/>
    </row>
    <row r="335" spans="1:7" ht="14.1" customHeight="1" x14ac:dyDescent="0.25">
      <c r="A335" s="214">
        <v>4214</v>
      </c>
      <c r="B335" s="215" t="s">
        <v>2388</v>
      </c>
      <c r="C335" s="321">
        <v>323</v>
      </c>
      <c r="D335" s="218">
        <v>0</v>
      </c>
      <c r="E335" s="218">
        <v>0</v>
      </c>
      <c r="F335" s="217" t="str">
        <f t="shared" si="5"/>
        <v>-</v>
      </c>
      <c r="G335" s="13"/>
    </row>
    <row r="336" spans="1:7" ht="14.1" customHeight="1" x14ac:dyDescent="0.25">
      <c r="A336" s="214">
        <v>422</v>
      </c>
      <c r="B336" s="215" t="s">
        <v>127</v>
      </c>
      <c r="C336" s="321">
        <v>324</v>
      </c>
      <c r="D336" s="216">
        <f>SUM(D337:D343)</f>
        <v>19535</v>
      </c>
      <c r="E336" s="216">
        <f>SUM(E337:E343)</f>
        <v>7618</v>
      </c>
      <c r="F336" s="217">
        <f t="shared" si="5"/>
        <v>38.99667263885334</v>
      </c>
      <c r="G336" s="13"/>
    </row>
    <row r="337" spans="1:7" ht="14.1" customHeight="1" x14ac:dyDescent="0.25">
      <c r="A337" s="214">
        <v>4221</v>
      </c>
      <c r="B337" s="215" t="s">
        <v>1846</v>
      </c>
      <c r="C337" s="321">
        <v>325</v>
      </c>
      <c r="D337" s="218">
        <v>9536</v>
      </c>
      <c r="E337" s="218">
        <v>0</v>
      </c>
      <c r="F337" s="217">
        <f t="shared" si="5"/>
        <v>0</v>
      </c>
      <c r="G337" s="13"/>
    </row>
    <row r="338" spans="1:7" ht="14.1" customHeight="1" x14ac:dyDescent="0.25">
      <c r="A338" s="214">
        <v>4222</v>
      </c>
      <c r="B338" s="215" t="s">
        <v>4470</v>
      </c>
      <c r="C338" s="321">
        <v>326</v>
      </c>
      <c r="D338" s="218">
        <v>0</v>
      </c>
      <c r="E338" s="218">
        <v>0</v>
      </c>
      <c r="F338" s="217" t="str">
        <f t="shared" si="5"/>
        <v>-</v>
      </c>
      <c r="G338" s="13"/>
    </row>
    <row r="339" spans="1:7" ht="14.1" customHeight="1" x14ac:dyDescent="0.25">
      <c r="A339" s="214">
        <v>4223</v>
      </c>
      <c r="B339" s="215" t="s">
        <v>1848</v>
      </c>
      <c r="C339" s="321">
        <v>327</v>
      </c>
      <c r="D339" s="218">
        <v>9999</v>
      </c>
      <c r="E339" s="218">
        <v>7618</v>
      </c>
      <c r="F339" s="217">
        <f t="shared" si="5"/>
        <v>76.18761876187618</v>
      </c>
      <c r="G339" s="13"/>
    </row>
    <row r="340" spans="1:7" ht="14.1" customHeight="1" x14ac:dyDescent="0.25">
      <c r="A340" s="214">
        <v>4224</v>
      </c>
      <c r="B340" s="215" t="s">
        <v>1849</v>
      </c>
      <c r="C340" s="321">
        <v>328</v>
      </c>
      <c r="D340" s="218">
        <v>0</v>
      </c>
      <c r="E340" s="218">
        <v>0</v>
      </c>
      <c r="F340" s="217" t="str">
        <f t="shared" si="5"/>
        <v>-</v>
      </c>
      <c r="G340" s="13"/>
    </row>
    <row r="341" spans="1:7" ht="14.1" customHeight="1" x14ac:dyDescent="0.25">
      <c r="A341" s="214">
        <v>4225</v>
      </c>
      <c r="B341" s="215" t="s">
        <v>1850</v>
      </c>
      <c r="C341" s="321">
        <v>329</v>
      </c>
      <c r="D341" s="218">
        <v>0</v>
      </c>
      <c r="E341" s="218">
        <v>0</v>
      </c>
      <c r="F341" s="217" t="str">
        <f t="shared" si="5"/>
        <v>-</v>
      </c>
      <c r="G341" s="13"/>
    </row>
    <row r="342" spans="1:7" ht="14.1" customHeight="1" x14ac:dyDescent="0.25">
      <c r="A342" s="214">
        <v>4226</v>
      </c>
      <c r="B342" s="215" t="s">
        <v>1851</v>
      </c>
      <c r="C342" s="321">
        <v>330</v>
      </c>
      <c r="D342" s="218">
        <v>0</v>
      </c>
      <c r="E342" s="218">
        <v>0</v>
      </c>
      <c r="F342" s="217" t="str">
        <f t="shared" si="5"/>
        <v>-</v>
      </c>
      <c r="G342" s="13"/>
    </row>
    <row r="343" spans="1:7" ht="14.1" customHeight="1" x14ac:dyDescent="0.25">
      <c r="A343" s="214">
        <v>4227</v>
      </c>
      <c r="B343" s="219" t="s">
        <v>1852</v>
      </c>
      <c r="C343" s="321">
        <v>331</v>
      </c>
      <c r="D343" s="218">
        <v>0</v>
      </c>
      <c r="E343" s="218">
        <v>0</v>
      </c>
      <c r="F343" s="217" t="str">
        <f t="shared" si="5"/>
        <v>-</v>
      </c>
      <c r="G343" s="13"/>
    </row>
    <row r="344" spans="1:7" ht="14.1" customHeight="1" x14ac:dyDescent="0.25">
      <c r="A344" s="214">
        <v>423</v>
      </c>
      <c r="B344" s="215" t="s">
        <v>128</v>
      </c>
      <c r="C344" s="321">
        <v>332</v>
      </c>
      <c r="D344" s="216">
        <f>SUM(D345:D348)</f>
        <v>0</v>
      </c>
      <c r="E344" s="216">
        <f>SUM(E345:E348)</f>
        <v>0</v>
      </c>
      <c r="F344" s="217" t="str">
        <f t="shared" si="5"/>
        <v>-</v>
      </c>
      <c r="G344" s="13"/>
    </row>
    <row r="345" spans="1:7" ht="14.1" customHeight="1" x14ac:dyDescent="0.25">
      <c r="A345" s="214">
        <v>4231</v>
      </c>
      <c r="B345" s="215" t="s">
        <v>1853</v>
      </c>
      <c r="C345" s="321">
        <v>333</v>
      </c>
      <c r="D345" s="218">
        <v>0</v>
      </c>
      <c r="E345" s="218">
        <v>0</v>
      </c>
      <c r="F345" s="217" t="str">
        <f t="shared" si="5"/>
        <v>-</v>
      </c>
      <c r="G345" s="13"/>
    </row>
    <row r="346" spans="1:7" ht="14.1" customHeight="1" x14ac:dyDescent="0.25">
      <c r="A346" s="214">
        <v>4232</v>
      </c>
      <c r="B346" s="215" t="s">
        <v>1854</v>
      </c>
      <c r="C346" s="321">
        <v>334</v>
      </c>
      <c r="D346" s="218">
        <v>0</v>
      </c>
      <c r="E346" s="218">
        <v>0</v>
      </c>
      <c r="F346" s="217" t="str">
        <f t="shared" si="5"/>
        <v>-</v>
      </c>
      <c r="G346" s="13"/>
    </row>
    <row r="347" spans="1:7" ht="14.1" customHeight="1" x14ac:dyDescent="0.25">
      <c r="A347" s="214">
        <v>4233</v>
      </c>
      <c r="B347" s="215" t="s">
        <v>4464</v>
      </c>
      <c r="C347" s="321">
        <v>335</v>
      </c>
      <c r="D347" s="218">
        <v>0</v>
      </c>
      <c r="E347" s="218">
        <v>0</v>
      </c>
      <c r="F347" s="217" t="str">
        <f t="shared" si="5"/>
        <v>-</v>
      </c>
      <c r="G347" s="13"/>
    </row>
    <row r="348" spans="1:7" ht="14.1" customHeight="1" x14ac:dyDescent="0.25">
      <c r="A348" s="214">
        <v>4234</v>
      </c>
      <c r="B348" s="219" t="s">
        <v>1538</v>
      </c>
      <c r="C348" s="321">
        <v>336</v>
      </c>
      <c r="D348" s="218">
        <v>0</v>
      </c>
      <c r="E348" s="218">
        <v>0</v>
      </c>
      <c r="F348" s="217" t="str">
        <f t="shared" si="5"/>
        <v>-</v>
      </c>
      <c r="G348" s="13"/>
    </row>
    <row r="349" spans="1:7" ht="14.1" customHeight="1" x14ac:dyDescent="0.25">
      <c r="A349" s="214">
        <v>424</v>
      </c>
      <c r="B349" s="215" t="s">
        <v>129</v>
      </c>
      <c r="C349" s="321">
        <v>337</v>
      </c>
      <c r="D349" s="216">
        <f>SUM(D350:D353)</f>
        <v>0</v>
      </c>
      <c r="E349" s="216">
        <f>SUM(E350:E353)</f>
        <v>0</v>
      </c>
      <c r="F349" s="217" t="str">
        <f t="shared" si="5"/>
        <v>-</v>
      </c>
      <c r="G349" s="13"/>
    </row>
    <row r="350" spans="1:7" ht="14.1" customHeight="1" x14ac:dyDescent="0.25">
      <c r="A350" s="214">
        <v>4241</v>
      </c>
      <c r="B350" s="215" t="s">
        <v>130</v>
      </c>
      <c r="C350" s="321">
        <v>338</v>
      </c>
      <c r="D350" s="218">
        <v>0</v>
      </c>
      <c r="E350" s="218">
        <v>0</v>
      </c>
      <c r="F350" s="217" t="str">
        <f t="shared" si="5"/>
        <v>-</v>
      </c>
      <c r="G350" s="13"/>
    </row>
    <row r="351" spans="1:7" ht="14.1" customHeight="1" x14ac:dyDescent="0.25">
      <c r="A351" s="214">
        <v>4242</v>
      </c>
      <c r="B351" s="215" t="s">
        <v>112</v>
      </c>
      <c r="C351" s="321">
        <v>339</v>
      </c>
      <c r="D351" s="218">
        <v>0</v>
      </c>
      <c r="E351" s="218">
        <v>0</v>
      </c>
      <c r="F351" s="217" t="str">
        <f t="shared" si="5"/>
        <v>-</v>
      </c>
      <c r="G351" s="13"/>
    </row>
    <row r="352" spans="1:7" ht="14.1" customHeight="1" x14ac:dyDescent="0.25">
      <c r="A352" s="214">
        <v>4243</v>
      </c>
      <c r="B352" s="215" t="s">
        <v>3438</v>
      </c>
      <c r="C352" s="321">
        <v>340</v>
      </c>
      <c r="D352" s="218">
        <v>0</v>
      </c>
      <c r="E352" s="218">
        <v>0</v>
      </c>
      <c r="F352" s="217" t="str">
        <f t="shared" si="5"/>
        <v>-</v>
      </c>
      <c r="G352" s="13"/>
    </row>
    <row r="353" spans="1:7" ht="14.1" customHeight="1" x14ac:dyDescent="0.25">
      <c r="A353" s="214">
        <v>4244</v>
      </c>
      <c r="B353" s="215" t="s">
        <v>3439</v>
      </c>
      <c r="C353" s="321">
        <v>341</v>
      </c>
      <c r="D353" s="218">
        <v>0</v>
      </c>
      <c r="E353" s="218">
        <v>0</v>
      </c>
      <c r="F353" s="217" t="str">
        <f t="shared" si="5"/>
        <v>-</v>
      </c>
      <c r="G353" s="13"/>
    </row>
    <row r="354" spans="1:7" ht="14.1" customHeight="1" x14ac:dyDescent="0.25">
      <c r="A354" s="214">
        <v>425</v>
      </c>
      <c r="B354" s="215" t="s">
        <v>131</v>
      </c>
      <c r="C354" s="321">
        <v>342</v>
      </c>
      <c r="D354" s="216">
        <f>SUM(D355:D356)</f>
        <v>0</v>
      </c>
      <c r="E354" s="216">
        <f>SUM(E355:E356)</f>
        <v>0</v>
      </c>
      <c r="F354" s="217" t="str">
        <f t="shared" si="5"/>
        <v>-</v>
      </c>
      <c r="G354" s="13"/>
    </row>
    <row r="355" spans="1:7" ht="14.1" customHeight="1" x14ac:dyDescent="0.25">
      <c r="A355" s="214">
        <v>4251</v>
      </c>
      <c r="B355" s="215" t="s">
        <v>4474</v>
      </c>
      <c r="C355" s="321">
        <v>343</v>
      </c>
      <c r="D355" s="218">
        <v>0</v>
      </c>
      <c r="E355" s="218">
        <v>0</v>
      </c>
      <c r="F355" s="217" t="str">
        <f t="shared" si="5"/>
        <v>-</v>
      </c>
      <c r="G355" s="13"/>
    </row>
    <row r="356" spans="1:7" ht="14.1" customHeight="1" x14ac:dyDescent="0.25">
      <c r="A356" s="214">
        <v>4252</v>
      </c>
      <c r="B356" s="215" t="s">
        <v>1249</v>
      </c>
      <c r="C356" s="321">
        <v>344</v>
      </c>
      <c r="D356" s="218">
        <v>0</v>
      </c>
      <c r="E356" s="218">
        <v>0</v>
      </c>
      <c r="F356" s="217" t="str">
        <f t="shared" si="5"/>
        <v>-</v>
      </c>
      <c r="G356" s="13"/>
    </row>
    <row r="357" spans="1:7" ht="14.1" customHeight="1" x14ac:dyDescent="0.25">
      <c r="A357" s="214">
        <v>426</v>
      </c>
      <c r="B357" s="215" t="s">
        <v>132</v>
      </c>
      <c r="C357" s="321">
        <v>345</v>
      </c>
      <c r="D357" s="216">
        <f>SUM(D358:D361)</f>
        <v>0</v>
      </c>
      <c r="E357" s="216">
        <f>SUM(E358:E361)</f>
        <v>0</v>
      </c>
      <c r="F357" s="217" t="str">
        <f t="shared" si="5"/>
        <v>-</v>
      </c>
      <c r="G357" s="13"/>
    </row>
    <row r="358" spans="1:7" ht="14.1" customHeight="1" x14ac:dyDescent="0.25">
      <c r="A358" s="214">
        <v>4261</v>
      </c>
      <c r="B358" s="215" t="s">
        <v>115</v>
      </c>
      <c r="C358" s="321">
        <v>346</v>
      </c>
      <c r="D358" s="218">
        <v>0</v>
      </c>
      <c r="E358" s="218">
        <v>0</v>
      </c>
      <c r="F358" s="217" t="str">
        <f t="shared" si="5"/>
        <v>-</v>
      </c>
      <c r="G358" s="13"/>
    </row>
    <row r="359" spans="1:7" ht="14.1" customHeight="1" x14ac:dyDescent="0.25">
      <c r="A359" s="214">
        <v>4262</v>
      </c>
      <c r="B359" s="215" t="s">
        <v>2128</v>
      </c>
      <c r="C359" s="321">
        <v>347</v>
      </c>
      <c r="D359" s="218">
        <v>0</v>
      </c>
      <c r="E359" s="218">
        <v>0</v>
      </c>
      <c r="F359" s="217" t="str">
        <f t="shared" si="5"/>
        <v>-</v>
      </c>
      <c r="G359" s="13"/>
    </row>
    <row r="360" spans="1:7" ht="14.1" customHeight="1" x14ac:dyDescent="0.25">
      <c r="A360" s="214">
        <v>4263</v>
      </c>
      <c r="B360" s="215" t="s">
        <v>2129</v>
      </c>
      <c r="C360" s="321">
        <v>348</v>
      </c>
      <c r="D360" s="218">
        <v>0</v>
      </c>
      <c r="E360" s="218">
        <v>0</v>
      </c>
      <c r="F360" s="217" t="str">
        <f t="shared" si="5"/>
        <v>-</v>
      </c>
      <c r="G360" s="13"/>
    </row>
    <row r="361" spans="1:7" ht="14.1" customHeight="1" x14ac:dyDescent="0.25">
      <c r="A361" s="214">
        <v>4264</v>
      </c>
      <c r="B361" s="215" t="s">
        <v>2130</v>
      </c>
      <c r="C361" s="321">
        <v>349</v>
      </c>
      <c r="D361" s="218">
        <v>0</v>
      </c>
      <c r="E361" s="218">
        <v>0</v>
      </c>
      <c r="F361" s="217" t="str">
        <f t="shared" si="5"/>
        <v>-</v>
      </c>
      <c r="G361" s="13"/>
    </row>
    <row r="362" spans="1:7" ht="14.1" customHeight="1" x14ac:dyDescent="0.25">
      <c r="A362" s="214">
        <v>428</v>
      </c>
      <c r="B362" s="219" t="s">
        <v>133</v>
      </c>
      <c r="C362" s="321">
        <v>350</v>
      </c>
      <c r="D362" s="216">
        <f>D363</f>
        <v>0</v>
      </c>
      <c r="E362" s="216">
        <f>E363</f>
        <v>0</v>
      </c>
      <c r="F362" s="217" t="str">
        <f t="shared" si="5"/>
        <v>-</v>
      </c>
      <c r="G362" s="13"/>
    </row>
    <row r="363" spans="1:7" ht="14.1" customHeight="1" x14ac:dyDescent="0.25">
      <c r="A363" s="214">
        <v>4281</v>
      </c>
      <c r="B363" s="215" t="s">
        <v>3985</v>
      </c>
      <c r="C363" s="321">
        <v>351</v>
      </c>
      <c r="D363" s="218">
        <v>0</v>
      </c>
      <c r="E363" s="218">
        <v>0</v>
      </c>
      <c r="F363" s="217" t="str">
        <f t="shared" si="5"/>
        <v>-</v>
      </c>
      <c r="G363" s="13"/>
    </row>
    <row r="364" spans="1:7" ht="14.1" customHeight="1" x14ac:dyDescent="0.25">
      <c r="A364" s="214">
        <v>43</v>
      </c>
      <c r="B364" s="215" t="s">
        <v>134</v>
      </c>
      <c r="C364" s="321">
        <v>352</v>
      </c>
      <c r="D364" s="216">
        <f>D365+D368</f>
        <v>0</v>
      </c>
      <c r="E364" s="216">
        <f>E365+E368</f>
        <v>0</v>
      </c>
      <c r="F364" s="217" t="str">
        <f t="shared" si="5"/>
        <v>-</v>
      </c>
      <c r="G364" s="13"/>
    </row>
    <row r="365" spans="1:7" ht="14.1" customHeight="1" x14ac:dyDescent="0.25">
      <c r="A365" s="214">
        <v>431</v>
      </c>
      <c r="B365" s="215" t="s">
        <v>135</v>
      </c>
      <c r="C365" s="321">
        <v>353</v>
      </c>
      <c r="D365" s="216">
        <f>SUM(D366:D367)</f>
        <v>0</v>
      </c>
      <c r="E365" s="216">
        <f>SUM(E366:E367)</f>
        <v>0</v>
      </c>
      <c r="F365" s="217" t="str">
        <f t="shared" si="5"/>
        <v>-</v>
      </c>
      <c r="G365" s="13"/>
    </row>
    <row r="366" spans="1:7" ht="14.1" customHeight="1" x14ac:dyDescent="0.25">
      <c r="A366" s="214">
        <v>4311</v>
      </c>
      <c r="B366" s="215" t="s">
        <v>2131</v>
      </c>
      <c r="C366" s="321">
        <v>354</v>
      </c>
      <c r="D366" s="218">
        <v>0</v>
      </c>
      <c r="E366" s="218">
        <v>0</v>
      </c>
      <c r="F366" s="217" t="str">
        <f t="shared" si="5"/>
        <v>-</v>
      </c>
      <c r="G366" s="13"/>
    </row>
    <row r="367" spans="1:7" ht="14.1" customHeight="1" x14ac:dyDescent="0.25">
      <c r="A367" s="214">
        <v>4312</v>
      </c>
      <c r="B367" s="215" t="s">
        <v>2132</v>
      </c>
      <c r="C367" s="321">
        <v>355</v>
      </c>
      <c r="D367" s="218">
        <v>0</v>
      </c>
      <c r="E367" s="218">
        <v>0</v>
      </c>
      <c r="F367" s="217" t="str">
        <f t="shared" si="5"/>
        <v>-</v>
      </c>
      <c r="G367" s="13"/>
    </row>
    <row r="368" spans="1:7" ht="24.9" customHeight="1" x14ac:dyDescent="0.25">
      <c r="A368" s="214">
        <v>438</v>
      </c>
      <c r="B368" s="215" t="s">
        <v>1241</v>
      </c>
      <c r="C368" s="321">
        <v>356</v>
      </c>
      <c r="D368" s="216">
        <f>D369</f>
        <v>0</v>
      </c>
      <c r="E368" s="216">
        <f>E369</f>
        <v>0</v>
      </c>
      <c r="F368" s="217" t="str">
        <f t="shared" si="5"/>
        <v>-</v>
      </c>
      <c r="G368" s="13"/>
    </row>
    <row r="369" spans="1:7" ht="14.1" customHeight="1" x14ac:dyDescent="0.25">
      <c r="A369" s="214">
        <v>4381</v>
      </c>
      <c r="B369" s="219" t="s">
        <v>2861</v>
      </c>
      <c r="C369" s="321">
        <v>357</v>
      </c>
      <c r="D369" s="218">
        <v>0</v>
      </c>
      <c r="E369" s="218">
        <v>0</v>
      </c>
      <c r="F369" s="217" t="str">
        <f t="shared" si="5"/>
        <v>-</v>
      </c>
      <c r="G369" s="13"/>
    </row>
    <row r="370" spans="1:7" ht="14.1" customHeight="1" x14ac:dyDescent="0.25">
      <c r="A370" s="214">
        <v>44</v>
      </c>
      <c r="B370" s="215" t="s">
        <v>136</v>
      </c>
      <c r="C370" s="321">
        <v>358</v>
      </c>
      <c r="D370" s="216">
        <f>D371</f>
        <v>0</v>
      </c>
      <c r="E370" s="216">
        <f>E371</f>
        <v>0</v>
      </c>
      <c r="F370" s="217" t="str">
        <f t="shared" si="5"/>
        <v>-</v>
      </c>
      <c r="G370" s="13"/>
    </row>
    <row r="371" spans="1:7" ht="14.1" customHeight="1" x14ac:dyDescent="0.25">
      <c r="A371" s="214">
        <v>441</v>
      </c>
      <c r="B371" s="215" t="s">
        <v>137</v>
      </c>
      <c r="C371" s="321">
        <v>359</v>
      </c>
      <c r="D371" s="216">
        <f>D372</f>
        <v>0</v>
      </c>
      <c r="E371" s="216">
        <f>E372</f>
        <v>0</v>
      </c>
      <c r="F371" s="217" t="str">
        <f t="shared" si="5"/>
        <v>-</v>
      </c>
      <c r="G371" s="13"/>
    </row>
    <row r="372" spans="1:7" ht="14.1" customHeight="1" x14ac:dyDescent="0.25">
      <c r="A372" s="214">
        <v>4411</v>
      </c>
      <c r="B372" s="215" t="s">
        <v>694</v>
      </c>
      <c r="C372" s="321">
        <v>360</v>
      </c>
      <c r="D372" s="218">
        <v>0</v>
      </c>
      <c r="E372" s="218">
        <v>0</v>
      </c>
      <c r="F372" s="217" t="str">
        <f t="shared" si="5"/>
        <v>-</v>
      </c>
      <c r="G372" s="13"/>
    </row>
    <row r="373" spans="1:7" ht="14.1" customHeight="1" x14ac:dyDescent="0.25">
      <c r="A373" s="214">
        <v>45</v>
      </c>
      <c r="B373" s="215" t="s">
        <v>138</v>
      </c>
      <c r="C373" s="321">
        <v>361</v>
      </c>
      <c r="D373" s="216">
        <f>D374+D376+D378+D380+D382</f>
        <v>0</v>
      </c>
      <c r="E373" s="216">
        <f>E374+E376+E378+E380+E382</f>
        <v>0</v>
      </c>
      <c r="F373" s="217" t="str">
        <f t="shared" si="5"/>
        <v>-</v>
      </c>
      <c r="G373" s="13"/>
    </row>
    <row r="374" spans="1:7" ht="14.1" customHeight="1" x14ac:dyDescent="0.25">
      <c r="A374" s="214">
        <v>451</v>
      </c>
      <c r="B374" s="215" t="s">
        <v>139</v>
      </c>
      <c r="C374" s="321">
        <v>362</v>
      </c>
      <c r="D374" s="216">
        <f>D375</f>
        <v>0</v>
      </c>
      <c r="E374" s="216">
        <f>E375</f>
        <v>0</v>
      </c>
      <c r="F374" s="217" t="str">
        <f t="shared" si="5"/>
        <v>-</v>
      </c>
      <c r="G374" s="13"/>
    </row>
    <row r="375" spans="1:7" ht="14.1" customHeight="1" x14ac:dyDescent="0.25">
      <c r="A375" s="214">
        <v>4511</v>
      </c>
      <c r="B375" s="215" t="s">
        <v>4075</v>
      </c>
      <c r="C375" s="321">
        <v>363</v>
      </c>
      <c r="D375" s="218">
        <v>0</v>
      </c>
      <c r="E375" s="218">
        <v>0</v>
      </c>
      <c r="F375" s="217" t="str">
        <f t="shared" si="5"/>
        <v>-</v>
      </c>
      <c r="G375" s="13"/>
    </row>
    <row r="376" spans="1:7" ht="14.1" customHeight="1" x14ac:dyDescent="0.25">
      <c r="A376" s="214">
        <v>452</v>
      </c>
      <c r="B376" s="215" t="s">
        <v>140</v>
      </c>
      <c r="C376" s="321">
        <v>364</v>
      </c>
      <c r="D376" s="216">
        <f>D377</f>
        <v>0</v>
      </c>
      <c r="E376" s="216">
        <f>E377</f>
        <v>0</v>
      </c>
      <c r="F376" s="217" t="str">
        <f t="shared" si="5"/>
        <v>-</v>
      </c>
      <c r="G376" s="13"/>
    </row>
    <row r="377" spans="1:7" ht="14.1" customHeight="1" x14ac:dyDescent="0.25">
      <c r="A377" s="214">
        <v>4521</v>
      </c>
      <c r="B377" s="215" t="s">
        <v>3688</v>
      </c>
      <c r="C377" s="321">
        <v>365</v>
      </c>
      <c r="D377" s="218">
        <v>0</v>
      </c>
      <c r="E377" s="218">
        <v>0</v>
      </c>
      <c r="F377" s="217" t="str">
        <f t="shared" si="5"/>
        <v>-</v>
      </c>
      <c r="G377" s="13"/>
    </row>
    <row r="378" spans="1:7" ht="14.1" customHeight="1" x14ac:dyDescent="0.25">
      <c r="A378" s="214">
        <v>453</v>
      </c>
      <c r="B378" s="215" t="s">
        <v>141</v>
      </c>
      <c r="C378" s="321">
        <v>366</v>
      </c>
      <c r="D378" s="216">
        <f>D379</f>
        <v>0</v>
      </c>
      <c r="E378" s="216">
        <f>E379</f>
        <v>0</v>
      </c>
      <c r="F378" s="217" t="str">
        <f t="shared" si="5"/>
        <v>-</v>
      </c>
      <c r="G378" s="13"/>
    </row>
    <row r="379" spans="1:7" ht="14.1" customHeight="1" x14ac:dyDescent="0.25">
      <c r="A379" s="214">
        <v>4531</v>
      </c>
      <c r="B379" s="215" t="s">
        <v>3690</v>
      </c>
      <c r="C379" s="321">
        <v>367</v>
      </c>
      <c r="D379" s="218">
        <v>0</v>
      </c>
      <c r="E379" s="218">
        <v>0</v>
      </c>
      <c r="F379" s="217" t="str">
        <f t="shared" si="5"/>
        <v>-</v>
      </c>
      <c r="G379" s="13"/>
    </row>
    <row r="380" spans="1:7" ht="14.1" customHeight="1" x14ac:dyDescent="0.25">
      <c r="A380" s="214">
        <v>454</v>
      </c>
      <c r="B380" s="215" t="s">
        <v>4509</v>
      </c>
      <c r="C380" s="321">
        <v>368</v>
      </c>
      <c r="D380" s="216">
        <f>D381</f>
        <v>0</v>
      </c>
      <c r="E380" s="216">
        <f>E381</f>
        <v>0</v>
      </c>
      <c r="F380" s="217" t="str">
        <f t="shared" si="5"/>
        <v>-</v>
      </c>
      <c r="G380" s="13"/>
    </row>
    <row r="381" spans="1:7" ht="14.1" customHeight="1" x14ac:dyDescent="0.25">
      <c r="A381" s="214">
        <v>4541</v>
      </c>
      <c r="B381" s="215" t="s">
        <v>3692</v>
      </c>
      <c r="C381" s="321">
        <v>369</v>
      </c>
      <c r="D381" s="218">
        <v>0</v>
      </c>
      <c r="E381" s="218">
        <v>0</v>
      </c>
      <c r="F381" s="217" t="str">
        <f t="shared" si="5"/>
        <v>-</v>
      </c>
      <c r="G381" s="13"/>
    </row>
    <row r="382" spans="1:7" ht="14.1" customHeight="1" x14ac:dyDescent="0.25">
      <c r="A382" s="214">
        <v>458</v>
      </c>
      <c r="B382" s="215" t="s">
        <v>4510</v>
      </c>
      <c r="C382" s="321">
        <v>370</v>
      </c>
      <c r="D382" s="216">
        <f>D383</f>
        <v>0</v>
      </c>
      <c r="E382" s="216">
        <f>E383</f>
        <v>0</v>
      </c>
      <c r="F382" s="217" t="str">
        <f t="shared" si="5"/>
        <v>-</v>
      </c>
      <c r="G382" s="13"/>
    </row>
    <row r="383" spans="1:7" ht="14.1" customHeight="1" x14ac:dyDescent="0.25">
      <c r="A383" s="214">
        <v>4581</v>
      </c>
      <c r="B383" s="215" t="s">
        <v>3694</v>
      </c>
      <c r="C383" s="321">
        <v>371</v>
      </c>
      <c r="D383" s="218">
        <v>0</v>
      </c>
      <c r="E383" s="218">
        <v>0</v>
      </c>
      <c r="F383" s="217" t="str">
        <f t="shared" si="5"/>
        <v>-</v>
      </c>
      <c r="G383" s="13"/>
    </row>
    <row r="384" spans="1:7" ht="14.1" customHeight="1" x14ac:dyDescent="0.25">
      <c r="A384" s="214" t="s">
        <v>4492</v>
      </c>
      <c r="B384" s="215" t="s">
        <v>4511</v>
      </c>
      <c r="C384" s="321">
        <v>372</v>
      </c>
      <c r="D384" s="216">
        <f>IF(D263&gt;=D315,D263-D315,0)</f>
        <v>0</v>
      </c>
      <c r="E384" s="216">
        <f>IF(E263&gt;=E315,E263-E315,0)</f>
        <v>0</v>
      </c>
      <c r="F384" s="217" t="str">
        <f t="shared" si="5"/>
        <v>-</v>
      </c>
      <c r="G384" s="13"/>
    </row>
    <row r="385" spans="1:7" ht="14.1" customHeight="1" x14ac:dyDescent="0.25">
      <c r="A385" s="214" t="s">
        <v>4492</v>
      </c>
      <c r="B385" s="215" t="s">
        <v>4512</v>
      </c>
      <c r="C385" s="321">
        <v>373</v>
      </c>
      <c r="D385" s="216">
        <f>IF(D315&gt;=D263,D315-D263,0)</f>
        <v>58235</v>
      </c>
      <c r="E385" s="216">
        <f>IF(E315&gt;=E263,E315-E263,0)</f>
        <v>77031</v>
      </c>
      <c r="F385" s="217">
        <f t="shared" si="5"/>
        <v>132.27612260667982</v>
      </c>
      <c r="G385" s="13"/>
    </row>
    <row r="386" spans="1:7" ht="14.1" customHeight="1" x14ac:dyDescent="0.25">
      <c r="A386" s="214">
        <v>92212</v>
      </c>
      <c r="B386" s="215" t="s">
        <v>3696</v>
      </c>
      <c r="C386" s="321">
        <v>374</v>
      </c>
      <c r="D386" s="218">
        <v>0</v>
      </c>
      <c r="E386" s="218">
        <v>0</v>
      </c>
      <c r="F386" s="217" t="str">
        <f t="shared" si="5"/>
        <v>-</v>
      </c>
      <c r="G386" s="13"/>
    </row>
    <row r="387" spans="1:7" ht="14.1" customHeight="1" x14ac:dyDescent="0.25">
      <c r="A387" s="214">
        <v>92222</v>
      </c>
      <c r="B387" s="215" t="s">
        <v>3698</v>
      </c>
      <c r="C387" s="321">
        <v>375</v>
      </c>
      <c r="D387" s="218">
        <v>1094563</v>
      </c>
      <c r="E387" s="218">
        <v>1152798</v>
      </c>
      <c r="F387" s="217">
        <f t="shared" si="5"/>
        <v>105.32038813663536</v>
      </c>
      <c r="G387" s="13"/>
    </row>
    <row r="388" spans="1:7" ht="14.1" customHeight="1" x14ac:dyDescent="0.25">
      <c r="A388" s="214">
        <v>97</v>
      </c>
      <c r="B388" s="215" t="s">
        <v>872</v>
      </c>
      <c r="C388" s="321">
        <v>376</v>
      </c>
      <c r="D388" s="218">
        <v>0</v>
      </c>
      <c r="E388" s="218">
        <v>0</v>
      </c>
      <c r="F388" s="217" t="str">
        <f t="shared" si="5"/>
        <v>-</v>
      </c>
      <c r="G388" s="13"/>
    </row>
    <row r="389" spans="1:7" ht="14.1" customHeight="1" x14ac:dyDescent="0.25">
      <c r="A389" s="214" t="s">
        <v>4492</v>
      </c>
      <c r="B389" s="215" t="s">
        <v>4513</v>
      </c>
      <c r="C389" s="321">
        <v>377</v>
      </c>
      <c r="D389" s="216">
        <f>D12+D263</f>
        <v>3117130</v>
      </c>
      <c r="E389" s="216">
        <f>E12+E263</f>
        <v>3203693</v>
      </c>
      <c r="F389" s="217">
        <f t="shared" si="5"/>
        <v>102.77700962102961</v>
      </c>
      <c r="G389" s="13"/>
    </row>
    <row r="390" spans="1:7" ht="14.1" customHeight="1" x14ac:dyDescent="0.25">
      <c r="A390" s="214" t="s">
        <v>4492</v>
      </c>
      <c r="B390" s="215" t="s">
        <v>4514</v>
      </c>
      <c r="C390" s="321">
        <v>378</v>
      </c>
      <c r="D390" s="216">
        <f>D255+D315</f>
        <v>2989421</v>
      </c>
      <c r="E390" s="216">
        <f>E255+E315</f>
        <v>3329441</v>
      </c>
      <c r="F390" s="217">
        <f t="shared" si="5"/>
        <v>111.37410889934873</v>
      </c>
      <c r="G390" s="13"/>
    </row>
    <row r="391" spans="1:7" ht="14.1" customHeight="1" x14ac:dyDescent="0.25">
      <c r="A391" s="214" t="s">
        <v>4492</v>
      </c>
      <c r="B391" s="215" t="s">
        <v>4515</v>
      </c>
      <c r="C391" s="321">
        <v>379</v>
      </c>
      <c r="D391" s="216">
        <f>IF(D389&gt;=D390,D389-D390,0)</f>
        <v>127709</v>
      </c>
      <c r="E391" s="216">
        <f>IF(E389&gt;=E390,E389-E390,0)</f>
        <v>0</v>
      </c>
      <c r="F391" s="217">
        <f t="shared" si="5"/>
        <v>0</v>
      </c>
      <c r="G391" s="13"/>
    </row>
    <row r="392" spans="1:7" ht="14.1" customHeight="1" x14ac:dyDescent="0.25">
      <c r="A392" s="214" t="s">
        <v>4492</v>
      </c>
      <c r="B392" s="215" t="s">
        <v>4516</v>
      </c>
      <c r="C392" s="321">
        <v>380</v>
      </c>
      <c r="D392" s="216">
        <f>IF(D390&gt;=D389,D390-D389,0)</f>
        <v>0</v>
      </c>
      <c r="E392" s="216">
        <f>IF(E390&gt;=E389,E390-E389,0)</f>
        <v>125748</v>
      </c>
      <c r="F392" s="217" t="str">
        <f t="shared" si="5"/>
        <v>-</v>
      </c>
      <c r="G392" s="13"/>
    </row>
    <row r="393" spans="1:7" ht="14.1" customHeight="1" x14ac:dyDescent="0.25">
      <c r="A393" s="225" t="s">
        <v>1130</v>
      </c>
      <c r="B393" s="219" t="s">
        <v>4517</v>
      </c>
      <c r="C393" s="321">
        <v>381</v>
      </c>
      <c r="D393" s="216">
        <f>IF(D258-D259+D386-D387&gt;=0,D258-D259+D386-D387,0)</f>
        <v>168209</v>
      </c>
      <c r="E393" s="216">
        <f>IF(E258-E259+E386-E387&gt;=0,E258-E259+E386-E387,0)</f>
        <v>295916</v>
      </c>
      <c r="F393" s="217">
        <f t="shared" si="5"/>
        <v>175.92162131633859</v>
      </c>
      <c r="G393" s="13"/>
    </row>
    <row r="394" spans="1:7" ht="14.1" customHeight="1" x14ac:dyDescent="0.25">
      <c r="A394" s="225" t="s">
        <v>1130</v>
      </c>
      <c r="B394" s="215" t="s">
        <v>3235</v>
      </c>
      <c r="C394" s="321">
        <v>382</v>
      </c>
      <c r="D394" s="216">
        <f>IF(D259-D258+D387-D386&gt;=0,D259-D258+D387-D386,0)</f>
        <v>0</v>
      </c>
      <c r="E394" s="216">
        <f>IF(E259-E258+E387-E386&gt;=0,E259-E258+E387-E386,0)</f>
        <v>0</v>
      </c>
      <c r="F394" s="217" t="str">
        <f t="shared" si="5"/>
        <v>-</v>
      </c>
      <c r="G394" s="13"/>
    </row>
    <row r="395" spans="1:7" ht="14.1" customHeight="1" x14ac:dyDescent="0.25">
      <c r="A395" s="220" t="s">
        <v>1131</v>
      </c>
      <c r="B395" s="221" t="s">
        <v>3236</v>
      </c>
      <c r="C395" s="322">
        <v>383</v>
      </c>
      <c r="D395" s="224">
        <f>D260+D388</f>
        <v>119890</v>
      </c>
      <c r="E395" s="224">
        <f>E260+E388</f>
        <v>155403</v>
      </c>
      <c r="F395" s="223">
        <f t="shared" si="5"/>
        <v>129.62131954291434</v>
      </c>
      <c r="G395" s="13"/>
    </row>
    <row r="396" spans="1:7" s="24" customFormat="1" ht="20.100000000000001" customHeight="1" x14ac:dyDescent="0.25">
      <c r="A396" s="535" t="s">
        <v>3237</v>
      </c>
      <c r="B396" s="533"/>
      <c r="C396" s="533"/>
      <c r="D396" s="533"/>
      <c r="E396" s="533"/>
      <c r="F396" s="536"/>
    </row>
    <row r="397" spans="1:7" ht="14.1" customHeight="1" x14ac:dyDescent="0.25">
      <c r="A397" s="210">
        <v>8</v>
      </c>
      <c r="B397" s="211" t="s">
        <v>3238</v>
      </c>
      <c r="C397" s="320">
        <v>384</v>
      </c>
      <c r="D397" s="212">
        <f>D398+D433+D446+D459+D490</f>
        <v>0</v>
      </c>
      <c r="E397" s="212">
        <f>E398+E433+E446+E459+E490</f>
        <v>0</v>
      </c>
      <c r="F397" s="213" t="str">
        <f t="shared" ref="F397:F460" si="6">IF(D397&gt;0,IF(E397/D397&gt;=100,"&gt;&gt;100",E397/D397*100),"-")</f>
        <v>-</v>
      </c>
      <c r="G397" s="13"/>
    </row>
    <row r="398" spans="1:7" ht="14.1" customHeight="1" x14ac:dyDescent="0.25">
      <c r="A398" s="214">
        <v>81</v>
      </c>
      <c r="B398" s="219" t="s">
        <v>3239</v>
      </c>
      <c r="C398" s="321">
        <v>385</v>
      </c>
      <c r="D398" s="216">
        <f>D399+D404+D407+D411+D413+D420+D425</f>
        <v>0</v>
      </c>
      <c r="E398" s="216">
        <f>E399+E404+E407+E411+E413+E420+E425</f>
        <v>0</v>
      </c>
      <c r="F398" s="217" t="str">
        <f t="shared" si="6"/>
        <v>-</v>
      </c>
      <c r="G398" s="13"/>
    </row>
    <row r="399" spans="1:7" ht="24.9" customHeight="1" x14ac:dyDescent="0.25">
      <c r="A399" s="214">
        <v>811</v>
      </c>
      <c r="B399" s="215" t="s">
        <v>3240</v>
      </c>
      <c r="C399" s="321">
        <v>386</v>
      </c>
      <c r="D399" s="216">
        <f>SUM(D400:D403)</f>
        <v>0</v>
      </c>
      <c r="E399" s="216">
        <f>SUM(E400:E403)</f>
        <v>0</v>
      </c>
      <c r="F399" s="217" t="str">
        <f t="shared" si="6"/>
        <v>-</v>
      </c>
      <c r="G399" s="13"/>
    </row>
    <row r="400" spans="1:7" ht="14.1" customHeight="1" x14ac:dyDescent="0.25">
      <c r="A400" s="214">
        <v>8113</v>
      </c>
      <c r="B400" s="215" t="s">
        <v>2079</v>
      </c>
      <c r="C400" s="321">
        <v>387</v>
      </c>
      <c r="D400" s="218">
        <v>0</v>
      </c>
      <c r="E400" s="218">
        <v>0</v>
      </c>
      <c r="F400" s="217" t="str">
        <f t="shared" si="6"/>
        <v>-</v>
      </c>
      <c r="G400" s="13"/>
    </row>
    <row r="401" spans="1:7" ht="14.1" customHeight="1" x14ac:dyDescent="0.25">
      <c r="A401" s="214">
        <v>8114</v>
      </c>
      <c r="B401" s="215" t="s">
        <v>3241</v>
      </c>
      <c r="C401" s="321">
        <v>388</v>
      </c>
      <c r="D401" s="218">
        <v>0</v>
      </c>
      <c r="E401" s="218">
        <v>0</v>
      </c>
      <c r="F401" s="217" t="str">
        <f t="shared" si="6"/>
        <v>-</v>
      </c>
      <c r="G401" s="13"/>
    </row>
    <row r="402" spans="1:7" ht="14.1" customHeight="1" x14ac:dyDescent="0.25">
      <c r="A402" s="214">
        <v>8115</v>
      </c>
      <c r="B402" s="215" t="s">
        <v>3242</v>
      </c>
      <c r="C402" s="321">
        <v>389</v>
      </c>
      <c r="D402" s="218">
        <v>0</v>
      </c>
      <c r="E402" s="218">
        <v>0</v>
      </c>
      <c r="F402" s="217" t="str">
        <f t="shared" si="6"/>
        <v>-</v>
      </c>
      <c r="G402" s="13"/>
    </row>
    <row r="403" spans="1:7" ht="14.1" customHeight="1" x14ac:dyDescent="0.25">
      <c r="A403" s="214">
        <v>8116</v>
      </c>
      <c r="B403" s="215" t="s">
        <v>3243</v>
      </c>
      <c r="C403" s="321">
        <v>390</v>
      </c>
      <c r="D403" s="218">
        <v>0</v>
      </c>
      <c r="E403" s="218">
        <v>0</v>
      </c>
      <c r="F403" s="217" t="str">
        <f t="shared" si="6"/>
        <v>-</v>
      </c>
      <c r="G403" s="13"/>
    </row>
    <row r="404" spans="1:7" ht="24.9" customHeight="1" x14ac:dyDescent="0.25">
      <c r="A404" s="214">
        <v>812</v>
      </c>
      <c r="B404" s="215" t="s">
        <v>4287</v>
      </c>
      <c r="C404" s="321">
        <v>391</v>
      </c>
      <c r="D404" s="216">
        <f>SUM(D405:D406)</f>
        <v>0</v>
      </c>
      <c r="E404" s="216">
        <f>SUM(E405:E406)</f>
        <v>0</v>
      </c>
      <c r="F404" s="217" t="str">
        <f t="shared" si="6"/>
        <v>-</v>
      </c>
      <c r="G404" s="13"/>
    </row>
    <row r="405" spans="1:7" ht="14.1" customHeight="1" x14ac:dyDescent="0.25">
      <c r="A405" s="214">
        <v>8121</v>
      </c>
      <c r="B405" s="215" t="s">
        <v>1468</v>
      </c>
      <c r="C405" s="321">
        <v>392</v>
      </c>
      <c r="D405" s="218">
        <v>0</v>
      </c>
      <c r="E405" s="218">
        <v>0</v>
      </c>
      <c r="F405" s="217" t="str">
        <f t="shared" si="6"/>
        <v>-</v>
      </c>
      <c r="G405" s="13"/>
    </row>
    <row r="406" spans="1:7" ht="14.1" customHeight="1" x14ac:dyDescent="0.25">
      <c r="A406" s="214">
        <v>8122</v>
      </c>
      <c r="B406" s="215" t="s">
        <v>1469</v>
      </c>
      <c r="C406" s="321">
        <v>393</v>
      </c>
      <c r="D406" s="218">
        <v>0</v>
      </c>
      <c r="E406" s="218">
        <v>0</v>
      </c>
      <c r="F406" s="217" t="str">
        <f t="shared" si="6"/>
        <v>-</v>
      </c>
      <c r="G406" s="13"/>
    </row>
    <row r="407" spans="1:7" ht="24.9" customHeight="1" x14ac:dyDescent="0.25">
      <c r="A407" s="214">
        <v>813</v>
      </c>
      <c r="B407" s="215" t="s">
        <v>4288</v>
      </c>
      <c r="C407" s="321">
        <v>394</v>
      </c>
      <c r="D407" s="216">
        <f>SUM(D408:D410)</f>
        <v>0</v>
      </c>
      <c r="E407" s="216">
        <f>SUM(E408:E410)</f>
        <v>0</v>
      </c>
      <c r="F407" s="217" t="str">
        <f t="shared" si="6"/>
        <v>-</v>
      </c>
      <c r="G407" s="13"/>
    </row>
    <row r="408" spans="1:7" ht="14.1" customHeight="1" x14ac:dyDescent="0.25">
      <c r="A408" s="214">
        <v>8132</v>
      </c>
      <c r="B408" s="215" t="s">
        <v>4289</v>
      </c>
      <c r="C408" s="321">
        <v>395</v>
      </c>
      <c r="D408" s="218">
        <v>0</v>
      </c>
      <c r="E408" s="218">
        <v>0</v>
      </c>
      <c r="F408" s="217" t="str">
        <f t="shared" si="6"/>
        <v>-</v>
      </c>
      <c r="G408" s="13"/>
    </row>
    <row r="409" spans="1:7" ht="14.1" customHeight="1" x14ac:dyDescent="0.25">
      <c r="A409" s="214">
        <v>8133</v>
      </c>
      <c r="B409" s="215" t="s">
        <v>3318</v>
      </c>
      <c r="C409" s="321">
        <v>396</v>
      </c>
      <c r="D409" s="218">
        <v>0</v>
      </c>
      <c r="E409" s="218">
        <v>0</v>
      </c>
      <c r="F409" s="217" t="str">
        <f t="shared" si="6"/>
        <v>-</v>
      </c>
      <c r="G409" s="13"/>
    </row>
    <row r="410" spans="1:7" ht="14.1" customHeight="1" x14ac:dyDescent="0.25">
      <c r="A410" s="214">
        <v>8134</v>
      </c>
      <c r="B410" s="215" t="s">
        <v>3319</v>
      </c>
      <c r="C410" s="321">
        <v>397</v>
      </c>
      <c r="D410" s="218">
        <v>0</v>
      </c>
      <c r="E410" s="218">
        <v>0</v>
      </c>
      <c r="F410" s="217" t="str">
        <f t="shared" si="6"/>
        <v>-</v>
      </c>
      <c r="G410" s="13"/>
    </row>
    <row r="411" spans="1:7" ht="14.1" customHeight="1" x14ac:dyDescent="0.25">
      <c r="A411" s="214">
        <v>814</v>
      </c>
      <c r="B411" s="215" t="s">
        <v>3320</v>
      </c>
      <c r="C411" s="321">
        <v>398</v>
      </c>
      <c r="D411" s="216">
        <f>D412</f>
        <v>0</v>
      </c>
      <c r="E411" s="216">
        <f>E412</f>
        <v>0</v>
      </c>
      <c r="F411" s="217" t="str">
        <f t="shared" si="6"/>
        <v>-</v>
      </c>
      <c r="G411" s="13"/>
    </row>
    <row r="412" spans="1:7" ht="14.1" customHeight="1" x14ac:dyDescent="0.25">
      <c r="A412" s="214">
        <v>8141</v>
      </c>
      <c r="B412" s="215" t="s">
        <v>3321</v>
      </c>
      <c r="C412" s="321">
        <v>399</v>
      </c>
      <c r="D412" s="218">
        <v>0</v>
      </c>
      <c r="E412" s="218">
        <v>0</v>
      </c>
      <c r="F412" s="217" t="str">
        <f t="shared" si="6"/>
        <v>-</v>
      </c>
      <c r="G412" s="13"/>
    </row>
    <row r="413" spans="1:7" ht="24.9" customHeight="1" x14ac:dyDescent="0.25">
      <c r="A413" s="214">
        <v>815</v>
      </c>
      <c r="B413" s="215" t="s">
        <v>3322</v>
      </c>
      <c r="C413" s="321">
        <v>400</v>
      </c>
      <c r="D413" s="216">
        <f>SUM(D414:D419)</f>
        <v>0</v>
      </c>
      <c r="E413" s="216">
        <f>SUM(E414:E419)</f>
        <v>0</v>
      </c>
      <c r="F413" s="217" t="str">
        <f t="shared" si="6"/>
        <v>-</v>
      </c>
      <c r="G413" s="13"/>
    </row>
    <row r="414" spans="1:7" ht="14.1" customHeight="1" x14ac:dyDescent="0.25">
      <c r="A414" s="214">
        <v>8153</v>
      </c>
      <c r="B414" s="215" t="s">
        <v>3323</v>
      </c>
      <c r="C414" s="321">
        <v>401</v>
      </c>
      <c r="D414" s="218">
        <v>0</v>
      </c>
      <c r="E414" s="218">
        <v>0</v>
      </c>
      <c r="F414" s="217" t="str">
        <f t="shared" si="6"/>
        <v>-</v>
      </c>
      <c r="G414" s="13"/>
    </row>
    <row r="415" spans="1:7" ht="14.1" customHeight="1" x14ac:dyDescent="0.25">
      <c r="A415" s="214">
        <v>8154</v>
      </c>
      <c r="B415" s="215" t="s">
        <v>3324</v>
      </c>
      <c r="C415" s="321">
        <v>402</v>
      </c>
      <c r="D415" s="218">
        <v>0</v>
      </c>
      <c r="E415" s="218">
        <v>0</v>
      </c>
      <c r="F415" s="217" t="str">
        <f t="shared" si="6"/>
        <v>-</v>
      </c>
      <c r="G415" s="13"/>
    </row>
    <row r="416" spans="1:7" ht="14.1" customHeight="1" x14ac:dyDescent="0.25">
      <c r="A416" s="214">
        <v>8155</v>
      </c>
      <c r="B416" s="215" t="s">
        <v>3325</v>
      </c>
      <c r="C416" s="321">
        <v>403</v>
      </c>
      <c r="D416" s="218">
        <v>0</v>
      </c>
      <c r="E416" s="218">
        <v>0</v>
      </c>
      <c r="F416" s="217" t="str">
        <f t="shared" si="6"/>
        <v>-</v>
      </c>
      <c r="G416" s="13"/>
    </row>
    <row r="417" spans="1:7" ht="14.1" customHeight="1" x14ac:dyDescent="0.25">
      <c r="A417" s="214">
        <v>8156</v>
      </c>
      <c r="B417" s="215" t="s">
        <v>3326</v>
      </c>
      <c r="C417" s="321">
        <v>404</v>
      </c>
      <c r="D417" s="218">
        <v>0</v>
      </c>
      <c r="E417" s="218">
        <v>0</v>
      </c>
      <c r="F417" s="217" t="str">
        <f t="shared" si="6"/>
        <v>-</v>
      </c>
      <c r="G417" s="13"/>
    </row>
    <row r="418" spans="1:7" ht="14.1" customHeight="1" x14ac:dyDescent="0.25">
      <c r="A418" s="214">
        <v>8157</v>
      </c>
      <c r="B418" s="215" t="s">
        <v>3327</v>
      </c>
      <c r="C418" s="321">
        <v>405</v>
      </c>
      <c r="D418" s="218">
        <v>0</v>
      </c>
      <c r="E418" s="218">
        <v>0</v>
      </c>
      <c r="F418" s="217" t="str">
        <f t="shared" si="6"/>
        <v>-</v>
      </c>
      <c r="G418" s="13"/>
    </row>
    <row r="419" spans="1:7" ht="14.1" customHeight="1" x14ac:dyDescent="0.25">
      <c r="A419" s="214">
        <v>8158</v>
      </c>
      <c r="B419" s="215" t="s">
        <v>3328</v>
      </c>
      <c r="C419" s="321">
        <v>406</v>
      </c>
      <c r="D419" s="218">
        <v>0</v>
      </c>
      <c r="E419" s="218">
        <v>0</v>
      </c>
      <c r="F419" s="217" t="str">
        <f t="shared" si="6"/>
        <v>-</v>
      </c>
      <c r="G419" s="13"/>
    </row>
    <row r="420" spans="1:7" ht="24.9" customHeight="1" x14ac:dyDescent="0.25">
      <c r="A420" s="214">
        <v>816</v>
      </c>
      <c r="B420" s="215" t="s">
        <v>3329</v>
      </c>
      <c r="C420" s="321">
        <v>407</v>
      </c>
      <c r="D420" s="216">
        <f>SUM(D421:D424)</f>
        <v>0</v>
      </c>
      <c r="E420" s="216">
        <f>SUM(E421:E424)</f>
        <v>0</v>
      </c>
      <c r="F420" s="217" t="str">
        <f t="shared" si="6"/>
        <v>-</v>
      </c>
      <c r="G420" s="13"/>
    </row>
    <row r="421" spans="1:7" ht="14.1" customHeight="1" x14ac:dyDescent="0.25">
      <c r="A421" s="214">
        <v>8163</v>
      </c>
      <c r="B421" s="215" t="s">
        <v>3330</v>
      </c>
      <c r="C421" s="321">
        <v>408</v>
      </c>
      <c r="D421" s="218">
        <v>0</v>
      </c>
      <c r="E421" s="218">
        <v>0</v>
      </c>
      <c r="F421" s="217" t="str">
        <f t="shared" si="6"/>
        <v>-</v>
      </c>
      <c r="G421" s="13"/>
    </row>
    <row r="422" spans="1:7" ht="14.1" customHeight="1" x14ac:dyDescent="0.25">
      <c r="A422" s="214">
        <v>8164</v>
      </c>
      <c r="B422" s="215" t="s">
        <v>3331</v>
      </c>
      <c r="C422" s="321">
        <v>409</v>
      </c>
      <c r="D422" s="218">
        <v>0</v>
      </c>
      <c r="E422" s="218">
        <v>0</v>
      </c>
      <c r="F422" s="217" t="str">
        <f t="shared" si="6"/>
        <v>-</v>
      </c>
      <c r="G422" s="13"/>
    </row>
    <row r="423" spans="1:7" ht="14.1" customHeight="1" x14ac:dyDescent="0.25">
      <c r="A423" s="214">
        <v>8165</v>
      </c>
      <c r="B423" s="215" t="s">
        <v>3332</v>
      </c>
      <c r="C423" s="321">
        <v>410</v>
      </c>
      <c r="D423" s="218">
        <v>0</v>
      </c>
      <c r="E423" s="218">
        <v>0</v>
      </c>
      <c r="F423" s="217" t="str">
        <f t="shared" si="6"/>
        <v>-</v>
      </c>
      <c r="G423" s="13"/>
    </row>
    <row r="424" spans="1:7" ht="14.1" customHeight="1" x14ac:dyDescent="0.25">
      <c r="A424" s="214">
        <v>8166</v>
      </c>
      <c r="B424" s="215" t="s">
        <v>3333</v>
      </c>
      <c r="C424" s="321">
        <v>411</v>
      </c>
      <c r="D424" s="218">
        <v>0</v>
      </c>
      <c r="E424" s="218">
        <v>0</v>
      </c>
      <c r="F424" s="217" t="str">
        <f t="shared" si="6"/>
        <v>-</v>
      </c>
      <c r="G424" s="13"/>
    </row>
    <row r="425" spans="1:7" ht="14.1" customHeight="1" x14ac:dyDescent="0.25">
      <c r="A425" s="214">
        <v>817</v>
      </c>
      <c r="B425" s="215" t="s">
        <v>3334</v>
      </c>
      <c r="C425" s="321">
        <v>412</v>
      </c>
      <c r="D425" s="216">
        <f>SUM(D426:D432)</f>
        <v>0</v>
      </c>
      <c r="E425" s="216">
        <f>SUM(E426:E432)</f>
        <v>0</v>
      </c>
      <c r="F425" s="217" t="str">
        <f t="shared" si="6"/>
        <v>-</v>
      </c>
      <c r="G425" s="13"/>
    </row>
    <row r="426" spans="1:7" ht="14.1" customHeight="1" x14ac:dyDescent="0.25">
      <c r="A426" s="214">
        <v>8171</v>
      </c>
      <c r="B426" s="215" t="s">
        <v>2933</v>
      </c>
      <c r="C426" s="321">
        <v>413</v>
      </c>
      <c r="D426" s="218">
        <v>0</v>
      </c>
      <c r="E426" s="218">
        <v>0</v>
      </c>
      <c r="F426" s="217" t="str">
        <f t="shared" si="6"/>
        <v>-</v>
      </c>
      <c r="G426" s="13"/>
    </row>
    <row r="427" spans="1:7" ht="14.1" customHeight="1" x14ac:dyDescent="0.25">
      <c r="A427" s="214">
        <v>8172</v>
      </c>
      <c r="B427" s="215" t="s">
        <v>2934</v>
      </c>
      <c r="C427" s="321">
        <v>414</v>
      </c>
      <c r="D427" s="218">
        <v>0</v>
      </c>
      <c r="E427" s="218">
        <v>0</v>
      </c>
      <c r="F427" s="217" t="str">
        <f t="shared" si="6"/>
        <v>-</v>
      </c>
      <c r="G427" s="13"/>
    </row>
    <row r="428" spans="1:7" ht="14.1" customHeight="1" x14ac:dyDescent="0.25">
      <c r="A428" s="214">
        <v>8173</v>
      </c>
      <c r="B428" s="215" t="s">
        <v>2935</v>
      </c>
      <c r="C428" s="321">
        <v>415</v>
      </c>
      <c r="D428" s="218">
        <v>0</v>
      </c>
      <c r="E428" s="218">
        <v>0</v>
      </c>
      <c r="F428" s="217" t="str">
        <f t="shared" si="6"/>
        <v>-</v>
      </c>
      <c r="G428" s="13"/>
    </row>
    <row r="429" spans="1:7" ht="14.1" customHeight="1" x14ac:dyDescent="0.25">
      <c r="A429" s="214">
        <v>8174</v>
      </c>
      <c r="B429" s="215" t="s">
        <v>2936</v>
      </c>
      <c r="C429" s="321">
        <v>416</v>
      </c>
      <c r="D429" s="218">
        <v>0</v>
      </c>
      <c r="E429" s="218">
        <v>0</v>
      </c>
      <c r="F429" s="217" t="str">
        <f t="shared" si="6"/>
        <v>-</v>
      </c>
      <c r="G429" s="13"/>
    </row>
    <row r="430" spans="1:7" ht="14.1" customHeight="1" x14ac:dyDescent="0.25">
      <c r="A430" s="214">
        <v>8175</v>
      </c>
      <c r="B430" s="215" t="s">
        <v>2937</v>
      </c>
      <c r="C430" s="321">
        <v>417</v>
      </c>
      <c r="D430" s="218">
        <v>0</v>
      </c>
      <c r="E430" s="218">
        <v>0</v>
      </c>
      <c r="F430" s="217" t="str">
        <f t="shared" si="6"/>
        <v>-</v>
      </c>
      <c r="G430" s="13"/>
    </row>
    <row r="431" spans="1:7" ht="14.1" customHeight="1" x14ac:dyDescent="0.25">
      <c r="A431" s="214">
        <v>8176</v>
      </c>
      <c r="B431" s="215" t="s">
        <v>2938</v>
      </c>
      <c r="C431" s="321">
        <v>418</v>
      </c>
      <c r="D431" s="218">
        <v>0</v>
      </c>
      <c r="E431" s="218">
        <v>0</v>
      </c>
      <c r="F431" s="217" t="str">
        <f t="shared" si="6"/>
        <v>-</v>
      </c>
      <c r="G431" s="13"/>
    </row>
    <row r="432" spans="1:7" ht="14.1" customHeight="1" x14ac:dyDescent="0.25">
      <c r="A432" s="214">
        <v>8177</v>
      </c>
      <c r="B432" s="219" t="s">
        <v>2939</v>
      </c>
      <c r="C432" s="321">
        <v>419</v>
      </c>
      <c r="D432" s="218">
        <v>0</v>
      </c>
      <c r="E432" s="218">
        <v>0</v>
      </c>
      <c r="F432" s="217" t="str">
        <f t="shared" si="6"/>
        <v>-</v>
      </c>
      <c r="G432" s="13"/>
    </row>
    <row r="433" spans="1:7" ht="14.1" customHeight="1" x14ac:dyDescent="0.25">
      <c r="A433" s="214">
        <v>82</v>
      </c>
      <c r="B433" s="215" t="s">
        <v>2940</v>
      </c>
      <c r="C433" s="321">
        <v>420</v>
      </c>
      <c r="D433" s="216">
        <f>D434+D437+D440+D443</f>
        <v>0</v>
      </c>
      <c r="E433" s="216">
        <f>E434+E437+E440+E443</f>
        <v>0</v>
      </c>
      <c r="F433" s="217" t="str">
        <f t="shared" si="6"/>
        <v>-</v>
      </c>
      <c r="G433" s="13"/>
    </row>
    <row r="434" spans="1:7" ht="14.1" customHeight="1" x14ac:dyDescent="0.25">
      <c r="A434" s="214">
        <v>821</v>
      </c>
      <c r="B434" s="215" t="s">
        <v>2941</v>
      </c>
      <c r="C434" s="321">
        <v>421</v>
      </c>
      <c r="D434" s="216">
        <f>SUM(D435:D436)</f>
        <v>0</v>
      </c>
      <c r="E434" s="216">
        <f>SUM(E435:E436)</f>
        <v>0</v>
      </c>
      <c r="F434" s="217" t="str">
        <f t="shared" si="6"/>
        <v>-</v>
      </c>
      <c r="G434" s="13"/>
    </row>
    <row r="435" spans="1:7" ht="14.1" customHeight="1" x14ac:dyDescent="0.25">
      <c r="A435" s="214">
        <v>8211</v>
      </c>
      <c r="B435" s="215" t="s">
        <v>2942</v>
      </c>
      <c r="C435" s="321">
        <v>422</v>
      </c>
      <c r="D435" s="218">
        <v>0</v>
      </c>
      <c r="E435" s="218">
        <v>0</v>
      </c>
      <c r="F435" s="217" t="str">
        <f t="shared" si="6"/>
        <v>-</v>
      </c>
      <c r="G435" s="13"/>
    </row>
    <row r="436" spans="1:7" ht="14.1" customHeight="1" x14ac:dyDescent="0.25">
      <c r="A436" s="214">
        <v>8212</v>
      </c>
      <c r="B436" s="215" t="s">
        <v>2943</v>
      </c>
      <c r="C436" s="321">
        <v>423</v>
      </c>
      <c r="D436" s="218">
        <v>0</v>
      </c>
      <c r="E436" s="218">
        <v>0</v>
      </c>
      <c r="F436" s="217" t="str">
        <f t="shared" si="6"/>
        <v>-</v>
      </c>
      <c r="G436" s="13"/>
    </row>
    <row r="437" spans="1:7" ht="14.1" customHeight="1" x14ac:dyDescent="0.25">
      <c r="A437" s="214">
        <v>822</v>
      </c>
      <c r="B437" s="215" t="s">
        <v>2944</v>
      </c>
      <c r="C437" s="321">
        <v>424</v>
      </c>
      <c r="D437" s="216">
        <f>SUM(D438:D439)</f>
        <v>0</v>
      </c>
      <c r="E437" s="216">
        <f>SUM(E438:E439)</f>
        <v>0</v>
      </c>
      <c r="F437" s="217" t="str">
        <f t="shared" si="6"/>
        <v>-</v>
      </c>
      <c r="G437" s="13"/>
    </row>
    <row r="438" spans="1:7" ht="14.1" customHeight="1" x14ac:dyDescent="0.25">
      <c r="A438" s="214">
        <v>8221</v>
      </c>
      <c r="B438" s="215" t="s">
        <v>3008</v>
      </c>
      <c r="C438" s="321">
        <v>425</v>
      </c>
      <c r="D438" s="218">
        <v>0</v>
      </c>
      <c r="E438" s="218">
        <v>0</v>
      </c>
      <c r="F438" s="217" t="str">
        <f t="shared" si="6"/>
        <v>-</v>
      </c>
      <c r="G438" s="13"/>
    </row>
    <row r="439" spans="1:7" ht="14.1" customHeight="1" x14ac:dyDescent="0.25">
      <c r="A439" s="214">
        <v>8222</v>
      </c>
      <c r="B439" s="215" t="s">
        <v>3009</v>
      </c>
      <c r="C439" s="321">
        <v>426</v>
      </c>
      <c r="D439" s="218">
        <v>0</v>
      </c>
      <c r="E439" s="218">
        <v>0</v>
      </c>
      <c r="F439" s="217" t="str">
        <f t="shared" si="6"/>
        <v>-</v>
      </c>
      <c r="G439" s="13"/>
    </row>
    <row r="440" spans="1:7" ht="14.1" customHeight="1" x14ac:dyDescent="0.25">
      <c r="A440" s="214">
        <v>823</v>
      </c>
      <c r="B440" s="215" t="s">
        <v>2945</v>
      </c>
      <c r="C440" s="321">
        <v>427</v>
      </c>
      <c r="D440" s="216">
        <f>SUM(D441:D442)</f>
        <v>0</v>
      </c>
      <c r="E440" s="216">
        <f>SUM(E441:E442)</f>
        <v>0</v>
      </c>
      <c r="F440" s="217" t="str">
        <f t="shared" si="6"/>
        <v>-</v>
      </c>
      <c r="G440" s="13"/>
    </row>
    <row r="441" spans="1:7" ht="14.1" customHeight="1" x14ac:dyDescent="0.25">
      <c r="A441" s="214">
        <v>8231</v>
      </c>
      <c r="B441" s="215" t="s">
        <v>806</v>
      </c>
      <c r="C441" s="321">
        <v>428</v>
      </c>
      <c r="D441" s="218">
        <v>0</v>
      </c>
      <c r="E441" s="218">
        <v>0</v>
      </c>
      <c r="F441" s="217" t="str">
        <f t="shared" si="6"/>
        <v>-</v>
      </c>
      <c r="G441" s="13"/>
    </row>
    <row r="442" spans="1:7" ht="14.1" customHeight="1" x14ac:dyDescent="0.25">
      <c r="A442" s="214">
        <v>8232</v>
      </c>
      <c r="B442" s="215" t="s">
        <v>807</v>
      </c>
      <c r="C442" s="321">
        <v>429</v>
      </c>
      <c r="D442" s="218">
        <v>0</v>
      </c>
      <c r="E442" s="218">
        <v>0</v>
      </c>
      <c r="F442" s="217" t="str">
        <f t="shared" si="6"/>
        <v>-</v>
      </c>
      <c r="G442" s="13"/>
    </row>
    <row r="443" spans="1:7" ht="14.1" customHeight="1" x14ac:dyDescent="0.25">
      <c r="A443" s="214">
        <v>824</v>
      </c>
      <c r="B443" s="215" t="s">
        <v>2946</v>
      </c>
      <c r="C443" s="321">
        <v>430</v>
      </c>
      <c r="D443" s="216">
        <f>SUM(D444:D445)</f>
        <v>0</v>
      </c>
      <c r="E443" s="216">
        <f>SUM(E444:E445)</f>
        <v>0</v>
      </c>
      <c r="F443" s="217" t="str">
        <f t="shared" si="6"/>
        <v>-</v>
      </c>
      <c r="G443" s="13"/>
    </row>
    <row r="444" spans="1:7" ht="14.1" customHeight="1" x14ac:dyDescent="0.25">
      <c r="A444" s="214">
        <v>8241</v>
      </c>
      <c r="B444" s="215" t="s">
        <v>808</v>
      </c>
      <c r="C444" s="321">
        <v>431</v>
      </c>
      <c r="D444" s="218">
        <v>0</v>
      </c>
      <c r="E444" s="218">
        <v>0</v>
      </c>
      <c r="F444" s="217" t="str">
        <f t="shared" si="6"/>
        <v>-</v>
      </c>
      <c r="G444" s="13"/>
    </row>
    <row r="445" spans="1:7" ht="14.1" customHeight="1" x14ac:dyDescent="0.25">
      <c r="A445" s="214">
        <v>8242</v>
      </c>
      <c r="B445" s="215" t="s">
        <v>3468</v>
      </c>
      <c r="C445" s="321">
        <v>432</v>
      </c>
      <c r="D445" s="218">
        <v>0</v>
      </c>
      <c r="E445" s="218">
        <v>0</v>
      </c>
      <c r="F445" s="217" t="str">
        <f t="shared" si="6"/>
        <v>-</v>
      </c>
      <c r="G445" s="13"/>
    </row>
    <row r="446" spans="1:7" ht="14.1" customHeight="1" x14ac:dyDescent="0.25">
      <c r="A446" s="214">
        <v>83</v>
      </c>
      <c r="B446" s="215" t="s">
        <v>2947</v>
      </c>
      <c r="C446" s="321">
        <v>433</v>
      </c>
      <c r="D446" s="216">
        <f>D447+D451+D453+D456</f>
        <v>0</v>
      </c>
      <c r="E446" s="216">
        <f>E447+E451+E453+E456</f>
        <v>0</v>
      </c>
      <c r="F446" s="217" t="str">
        <f t="shared" si="6"/>
        <v>-</v>
      </c>
      <c r="G446" s="13"/>
    </row>
    <row r="447" spans="1:7" ht="24.9" customHeight="1" x14ac:dyDescent="0.25">
      <c r="A447" s="214">
        <v>831</v>
      </c>
      <c r="B447" s="215" t="s">
        <v>2948</v>
      </c>
      <c r="C447" s="321">
        <v>434</v>
      </c>
      <c r="D447" s="216">
        <f>SUM(D448:D450)</f>
        <v>0</v>
      </c>
      <c r="E447" s="216">
        <f>SUM(E448:E450)</f>
        <v>0</v>
      </c>
      <c r="F447" s="217" t="str">
        <f t="shared" si="6"/>
        <v>-</v>
      </c>
      <c r="G447" s="13"/>
    </row>
    <row r="448" spans="1:7" ht="14.1" customHeight="1" x14ac:dyDescent="0.25">
      <c r="A448" s="214">
        <v>8312</v>
      </c>
      <c r="B448" s="215" t="s">
        <v>2949</v>
      </c>
      <c r="C448" s="321">
        <v>435</v>
      </c>
      <c r="D448" s="218">
        <v>0</v>
      </c>
      <c r="E448" s="218">
        <v>0</v>
      </c>
      <c r="F448" s="217" t="str">
        <f t="shared" si="6"/>
        <v>-</v>
      </c>
      <c r="G448" s="13"/>
    </row>
    <row r="449" spans="1:7" ht="14.1" customHeight="1" x14ac:dyDescent="0.25">
      <c r="A449" s="214">
        <v>8313</v>
      </c>
      <c r="B449" s="215" t="s">
        <v>2950</v>
      </c>
      <c r="C449" s="321">
        <v>436</v>
      </c>
      <c r="D449" s="218">
        <v>0</v>
      </c>
      <c r="E449" s="218">
        <v>0</v>
      </c>
      <c r="F449" s="217" t="str">
        <f t="shared" si="6"/>
        <v>-</v>
      </c>
      <c r="G449" s="13"/>
    </row>
    <row r="450" spans="1:7" ht="14.1" customHeight="1" x14ac:dyDescent="0.25">
      <c r="A450" s="214">
        <v>8314</v>
      </c>
      <c r="B450" s="215" t="s">
        <v>2951</v>
      </c>
      <c r="C450" s="321">
        <v>437</v>
      </c>
      <c r="D450" s="218">
        <v>0</v>
      </c>
      <c r="E450" s="218">
        <v>0</v>
      </c>
      <c r="F450" s="217" t="str">
        <f t="shared" si="6"/>
        <v>-</v>
      </c>
      <c r="G450" s="13"/>
    </row>
    <row r="451" spans="1:7" ht="14.1" customHeight="1" x14ac:dyDescent="0.25">
      <c r="A451" s="214">
        <v>832</v>
      </c>
      <c r="B451" s="219" t="s">
        <v>2952</v>
      </c>
      <c r="C451" s="321">
        <v>438</v>
      </c>
      <c r="D451" s="216">
        <f>D452</f>
        <v>0</v>
      </c>
      <c r="E451" s="216">
        <f>E452</f>
        <v>0</v>
      </c>
      <c r="F451" s="217" t="str">
        <f t="shared" si="6"/>
        <v>-</v>
      </c>
      <c r="G451" s="13"/>
    </row>
    <row r="452" spans="1:7" ht="14.1" customHeight="1" x14ac:dyDescent="0.25">
      <c r="A452" s="214">
        <v>8321</v>
      </c>
      <c r="B452" s="215" t="s">
        <v>1883</v>
      </c>
      <c r="C452" s="321">
        <v>439</v>
      </c>
      <c r="D452" s="218">
        <v>0</v>
      </c>
      <c r="E452" s="218">
        <v>0</v>
      </c>
      <c r="F452" s="217" t="str">
        <f t="shared" si="6"/>
        <v>-</v>
      </c>
      <c r="G452" s="13"/>
    </row>
    <row r="453" spans="1:7" ht="24.9" customHeight="1" x14ac:dyDescent="0.25">
      <c r="A453" s="214">
        <v>833</v>
      </c>
      <c r="B453" s="215" t="s">
        <v>2953</v>
      </c>
      <c r="C453" s="321">
        <v>440</v>
      </c>
      <c r="D453" s="216">
        <f>SUM(D454:D455)</f>
        <v>0</v>
      </c>
      <c r="E453" s="216">
        <f>SUM(E454:E455)</f>
        <v>0</v>
      </c>
      <c r="F453" s="217" t="str">
        <f t="shared" si="6"/>
        <v>-</v>
      </c>
      <c r="G453" s="13"/>
    </row>
    <row r="454" spans="1:7" ht="14.1" customHeight="1" x14ac:dyDescent="0.25">
      <c r="A454" s="214">
        <v>8331</v>
      </c>
      <c r="B454" s="219" t="s">
        <v>3038</v>
      </c>
      <c r="C454" s="321">
        <v>441</v>
      </c>
      <c r="D454" s="218">
        <v>0</v>
      </c>
      <c r="E454" s="218">
        <v>0</v>
      </c>
      <c r="F454" s="217" t="str">
        <f t="shared" si="6"/>
        <v>-</v>
      </c>
      <c r="G454" s="13"/>
    </row>
    <row r="455" spans="1:7" ht="14.1" customHeight="1" x14ac:dyDescent="0.25">
      <c r="A455" s="214">
        <v>8332</v>
      </c>
      <c r="B455" s="215" t="s">
        <v>3619</v>
      </c>
      <c r="C455" s="321">
        <v>442</v>
      </c>
      <c r="D455" s="218">
        <v>0</v>
      </c>
      <c r="E455" s="218">
        <v>0</v>
      </c>
      <c r="F455" s="217" t="str">
        <f t="shared" si="6"/>
        <v>-</v>
      </c>
      <c r="G455" s="13"/>
    </row>
    <row r="456" spans="1:7" ht="24.9" customHeight="1" x14ac:dyDescent="0.25">
      <c r="A456" s="214">
        <v>834</v>
      </c>
      <c r="B456" s="215" t="s">
        <v>3620</v>
      </c>
      <c r="C456" s="321">
        <v>443</v>
      </c>
      <c r="D456" s="216">
        <f>SUM(D457:D458)</f>
        <v>0</v>
      </c>
      <c r="E456" s="216">
        <f>SUM(E457:E458)</f>
        <v>0</v>
      </c>
      <c r="F456" s="217" t="str">
        <f t="shared" si="6"/>
        <v>-</v>
      </c>
      <c r="G456" s="13"/>
    </row>
    <row r="457" spans="1:7" ht="14.1" customHeight="1" x14ac:dyDescent="0.25">
      <c r="A457" s="214">
        <v>8341</v>
      </c>
      <c r="B457" s="215" t="s">
        <v>3301</v>
      </c>
      <c r="C457" s="321">
        <v>444</v>
      </c>
      <c r="D457" s="218">
        <v>0</v>
      </c>
      <c r="E457" s="218">
        <v>0</v>
      </c>
      <c r="F457" s="217" t="str">
        <f t="shared" si="6"/>
        <v>-</v>
      </c>
      <c r="G457" s="13"/>
    </row>
    <row r="458" spans="1:7" ht="14.1" customHeight="1" x14ac:dyDescent="0.25">
      <c r="A458" s="214">
        <v>8342</v>
      </c>
      <c r="B458" s="215" t="s">
        <v>3302</v>
      </c>
      <c r="C458" s="321">
        <v>445</v>
      </c>
      <c r="D458" s="218">
        <v>0</v>
      </c>
      <c r="E458" s="218">
        <v>0</v>
      </c>
      <c r="F458" s="217" t="str">
        <f t="shared" si="6"/>
        <v>-</v>
      </c>
      <c r="G458" s="13"/>
    </row>
    <row r="459" spans="1:7" ht="14.1" customHeight="1" x14ac:dyDescent="0.25">
      <c r="A459" s="214">
        <v>84</v>
      </c>
      <c r="B459" s="215" t="s">
        <v>3621</v>
      </c>
      <c r="C459" s="321">
        <v>446</v>
      </c>
      <c r="D459" s="216">
        <f>D460+D465+D469+D471+D478+D483</f>
        <v>0</v>
      </c>
      <c r="E459" s="216">
        <f>E460+E465+E469+E471+E478+E483</f>
        <v>0</v>
      </c>
      <c r="F459" s="217" t="str">
        <f t="shared" si="6"/>
        <v>-</v>
      </c>
      <c r="G459" s="13"/>
    </row>
    <row r="460" spans="1:7" ht="24.9" customHeight="1" x14ac:dyDescent="0.25">
      <c r="A460" s="214">
        <v>841</v>
      </c>
      <c r="B460" s="215" t="s">
        <v>3622</v>
      </c>
      <c r="C460" s="321">
        <v>447</v>
      </c>
      <c r="D460" s="216">
        <f>SUM(D461:D464)</f>
        <v>0</v>
      </c>
      <c r="E460" s="216">
        <f>SUM(E461:E464)</f>
        <v>0</v>
      </c>
      <c r="F460" s="217" t="str">
        <f t="shared" si="6"/>
        <v>-</v>
      </c>
      <c r="G460" s="13"/>
    </row>
    <row r="461" spans="1:7" ht="14.1" customHeight="1" x14ac:dyDescent="0.25">
      <c r="A461" s="214">
        <v>8413</v>
      </c>
      <c r="B461" s="215" t="s">
        <v>4163</v>
      </c>
      <c r="C461" s="321">
        <v>448</v>
      </c>
      <c r="D461" s="218">
        <v>0</v>
      </c>
      <c r="E461" s="218">
        <v>0</v>
      </c>
      <c r="F461" s="217" t="str">
        <f t="shared" ref="F461:F513" si="7">IF(D461&gt;0,IF(E461/D461&gt;=100,"&gt;&gt;100",E461/D461*100),"-")</f>
        <v>-</v>
      </c>
      <c r="G461" s="13"/>
    </row>
    <row r="462" spans="1:7" ht="14.1" customHeight="1" x14ac:dyDescent="0.25">
      <c r="A462" s="214">
        <v>8414</v>
      </c>
      <c r="B462" s="215" t="s">
        <v>3623</v>
      </c>
      <c r="C462" s="321">
        <v>449</v>
      </c>
      <c r="D462" s="218">
        <v>0</v>
      </c>
      <c r="E462" s="218">
        <v>0</v>
      </c>
      <c r="F462" s="217" t="str">
        <f t="shared" si="7"/>
        <v>-</v>
      </c>
      <c r="G462" s="13"/>
    </row>
    <row r="463" spans="1:7" ht="14.1" customHeight="1" x14ac:dyDescent="0.25">
      <c r="A463" s="214">
        <v>8415</v>
      </c>
      <c r="B463" s="215" t="s">
        <v>3624</v>
      </c>
      <c r="C463" s="321">
        <v>450</v>
      </c>
      <c r="D463" s="218">
        <v>0</v>
      </c>
      <c r="E463" s="218">
        <v>0</v>
      </c>
      <c r="F463" s="217" t="str">
        <f t="shared" si="7"/>
        <v>-</v>
      </c>
      <c r="G463" s="13"/>
    </row>
    <row r="464" spans="1:7" ht="14.1" customHeight="1" x14ac:dyDescent="0.25">
      <c r="A464" s="214">
        <v>8416</v>
      </c>
      <c r="B464" s="215" t="s">
        <v>3625</v>
      </c>
      <c r="C464" s="321">
        <v>451</v>
      </c>
      <c r="D464" s="218">
        <v>0</v>
      </c>
      <c r="E464" s="218">
        <v>0</v>
      </c>
      <c r="F464" s="217" t="str">
        <f t="shared" si="7"/>
        <v>-</v>
      </c>
      <c r="G464" s="13"/>
    </row>
    <row r="465" spans="1:7" ht="24.9" customHeight="1" x14ac:dyDescent="0.25">
      <c r="A465" s="214">
        <v>842</v>
      </c>
      <c r="B465" s="215" t="s">
        <v>1243</v>
      </c>
      <c r="C465" s="321">
        <v>452</v>
      </c>
      <c r="D465" s="216">
        <f>SUM(D466:D468)</f>
        <v>0</v>
      </c>
      <c r="E465" s="216">
        <f>SUM(E466:E468)</f>
        <v>0</v>
      </c>
      <c r="F465" s="217" t="str">
        <f t="shared" si="7"/>
        <v>-</v>
      </c>
      <c r="G465" s="13"/>
    </row>
    <row r="466" spans="1:7" ht="14.1" customHeight="1" x14ac:dyDescent="0.25">
      <c r="A466" s="214">
        <v>8422</v>
      </c>
      <c r="B466" s="215" t="s">
        <v>3626</v>
      </c>
      <c r="C466" s="321">
        <v>453</v>
      </c>
      <c r="D466" s="218">
        <v>0</v>
      </c>
      <c r="E466" s="218">
        <v>0</v>
      </c>
      <c r="F466" s="217" t="str">
        <f t="shared" si="7"/>
        <v>-</v>
      </c>
      <c r="G466" s="13"/>
    </row>
    <row r="467" spans="1:7" ht="14.1" customHeight="1" x14ac:dyDescent="0.25">
      <c r="A467" s="214">
        <v>8423</v>
      </c>
      <c r="B467" s="215" t="s">
        <v>3627</v>
      </c>
      <c r="C467" s="321">
        <v>454</v>
      </c>
      <c r="D467" s="218">
        <v>0</v>
      </c>
      <c r="E467" s="218">
        <v>0</v>
      </c>
      <c r="F467" s="217" t="str">
        <f t="shared" si="7"/>
        <v>-</v>
      </c>
      <c r="G467" s="13"/>
    </row>
    <row r="468" spans="1:7" ht="14.1" customHeight="1" x14ac:dyDescent="0.25">
      <c r="A468" s="214">
        <v>8424</v>
      </c>
      <c r="B468" s="215" t="s">
        <v>3628</v>
      </c>
      <c r="C468" s="321">
        <v>455</v>
      </c>
      <c r="D468" s="218">
        <v>0</v>
      </c>
      <c r="E468" s="218">
        <v>0</v>
      </c>
      <c r="F468" s="217" t="str">
        <f t="shared" si="7"/>
        <v>-</v>
      </c>
      <c r="G468" s="13"/>
    </row>
    <row r="469" spans="1:7" ht="14.1" customHeight="1" x14ac:dyDescent="0.25">
      <c r="A469" s="214">
        <v>843</v>
      </c>
      <c r="B469" s="215" t="s">
        <v>3629</v>
      </c>
      <c r="C469" s="321">
        <v>456</v>
      </c>
      <c r="D469" s="216">
        <f>D470</f>
        <v>0</v>
      </c>
      <c r="E469" s="216">
        <f>E470</f>
        <v>0</v>
      </c>
      <c r="F469" s="217" t="str">
        <f t="shared" si="7"/>
        <v>-</v>
      </c>
      <c r="G469" s="13"/>
    </row>
    <row r="470" spans="1:7" ht="14.1" customHeight="1" x14ac:dyDescent="0.25">
      <c r="A470" s="214">
        <v>8431</v>
      </c>
      <c r="B470" s="215" t="s">
        <v>4074</v>
      </c>
      <c r="C470" s="321">
        <v>457</v>
      </c>
      <c r="D470" s="218">
        <v>0</v>
      </c>
      <c r="E470" s="218">
        <v>0</v>
      </c>
      <c r="F470" s="217" t="str">
        <f t="shared" si="7"/>
        <v>-</v>
      </c>
      <c r="G470" s="13"/>
    </row>
    <row r="471" spans="1:7" ht="24.9" customHeight="1" x14ac:dyDescent="0.25">
      <c r="A471" s="214">
        <v>844</v>
      </c>
      <c r="B471" s="215" t="s">
        <v>3630</v>
      </c>
      <c r="C471" s="321">
        <v>458</v>
      </c>
      <c r="D471" s="216">
        <f>SUM(D472:D477)</f>
        <v>0</v>
      </c>
      <c r="E471" s="216">
        <f>SUM(E472:E477)</f>
        <v>0</v>
      </c>
      <c r="F471" s="217" t="str">
        <f t="shared" si="7"/>
        <v>-</v>
      </c>
      <c r="G471" s="13"/>
    </row>
    <row r="472" spans="1:7" ht="14.1" customHeight="1" x14ac:dyDescent="0.25">
      <c r="A472" s="214">
        <v>8443</v>
      </c>
      <c r="B472" s="215" t="s">
        <v>3631</v>
      </c>
      <c r="C472" s="321">
        <v>459</v>
      </c>
      <c r="D472" s="218">
        <v>0</v>
      </c>
      <c r="E472" s="218">
        <v>0</v>
      </c>
      <c r="F472" s="217" t="str">
        <f t="shared" si="7"/>
        <v>-</v>
      </c>
      <c r="G472" s="13"/>
    </row>
    <row r="473" spans="1:7" ht="14.1" customHeight="1" x14ac:dyDescent="0.25">
      <c r="A473" s="214">
        <v>8444</v>
      </c>
      <c r="B473" s="215" t="s">
        <v>3632</v>
      </c>
      <c r="C473" s="321">
        <v>460</v>
      </c>
      <c r="D473" s="218">
        <v>0</v>
      </c>
      <c r="E473" s="218">
        <v>0</v>
      </c>
      <c r="F473" s="217" t="str">
        <f t="shared" si="7"/>
        <v>-</v>
      </c>
      <c r="G473" s="13"/>
    </row>
    <row r="474" spans="1:7" ht="14.1" customHeight="1" x14ac:dyDescent="0.25">
      <c r="A474" s="214">
        <v>8445</v>
      </c>
      <c r="B474" s="215" t="s">
        <v>3633</v>
      </c>
      <c r="C474" s="321">
        <v>461</v>
      </c>
      <c r="D474" s="218">
        <v>0</v>
      </c>
      <c r="E474" s="218">
        <v>0</v>
      </c>
      <c r="F474" s="217" t="str">
        <f t="shared" si="7"/>
        <v>-</v>
      </c>
      <c r="G474" s="13"/>
    </row>
    <row r="475" spans="1:7" ht="14.1" customHeight="1" x14ac:dyDescent="0.25">
      <c r="A475" s="214">
        <v>8446</v>
      </c>
      <c r="B475" s="215" t="s">
        <v>3634</v>
      </c>
      <c r="C475" s="321">
        <v>462</v>
      </c>
      <c r="D475" s="218">
        <v>0</v>
      </c>
      <c r="E475" s="218">
        <v>0</v>
      </c>
      <c r="F475" s="217" t="str">
        <f t="shared" si="7"/>
        <v>-</v>
      </c>
      <c r="G475" s="13"/>
    </row>
    <row r="476" spans="1:7" ht="14.1" customHeight="1" x14ac:dyDescent="0.25">
      <c r="A476" s="214">
        <v>8447</v>
      </c>
      <c r="B476" s="215" t="s">
        <v>3635</v>
      </c>
      <c r="C476" s="321">
        <v>463</v>
      </c>
      <c r="D476" s="218">
        <v>0</v>
      </c>
      <c r="E476" s="218">
        <v>0</v>
      </c>
      <c r="F476" s="217" t="str">
        <f t="shared" si="7"/>
        <v>-</v>
      </c>
      <c r="G476" s="13"/>
    </row>
    <row r="477" spans="1:7" ht="14.1" customHeight="1" x14ac:dyDescent="0.25">
      <c r="A477" s="214">
        <v>8448</v>
      </c>
      <c r="B477" s="215" t="s">
        <v>3636</v>
      </c>
      <c r="C477" s="321">
        <v>464</v>
      </c>
      <c r="D477" s="218">
        <v>0</v>
      </c>
      <c r="E477" s="218">
        <v>0</v>
      </c>
      <c r="F477" s="217" t="str">
        <f t="shared" si="7"/>
        <v>-</v>
      </c>
      <c r="G477" s="13"/>
    </row>
    <row r="478" spans="1:7" ht="14.1" customHeight="1" x14ac:dyDescent="0.25">
      <c r="A478" s="214">
        <v>845</v>
      </c>
      <c r="B478" s="215" t="s">
        <v>3752</v>
      </c>
      <c r="C478" s="321">
        <v>465</v>
      </c>
      <c r="D478" s="216">
        <f>SUM(D479:D482)</f>
        <v>0</v>
      </c>
      <c r="E478" s="216">
        <f>SUM(E479:E482)</f>
        <v>0</v>
      </c>
      <c r="F478" s="217" t="str">
        <f t="shared" si="7"/>
        <v>-</v>
      </c>
      <c r="G478" s="13"/>
    </row>
    <row r="479" spans="1:7" ht="14.1" customHeight="1" x14ac:dyDescent="0.25">
      <c r="A479" s="214">
        <v>8453</v>
      </c>
      <c r="B479" s="215" t="s">
        <v>3753</v>
      </c>
      <c r="C479" s="321">
        <v>466</v>
      </c>
      <c r="D479" s="218">
        <v>0</v>
      </c>
      <c r="E479" s="218">
        <v>0</v>
      </c>
      <c r="F479" s="217" t="str">
        <f t="shared" si="7"/>
        <v>-</v>
      </c>
      <c r="G479" s="13"/>
    </row>
    <row r="480" spans="1:7" ht="14.1" customHeight="1" x14ac:dyDescent="0.25">
      <c r="A480" s="214">
        <v>8454</v>
      </c>
      <c r="B480" s="215" t="s">
        <v>3754</v>
      </c>
      <c r="C480" s="321">
        <v>467</v>
      </c>
      <c r="D480" s="218">
        <v>0</v>
      </c>
      <c r="E480" s="218">
        <v>0</v>
      </c>
      <c r="F480" s="217" t="str">
        <f t="shared" si="7"/>
        <v>-</v>
      </c>
      <c r="G480" s="13"/>
    </row>
    <row r="481" spans="1:7" ht="14.1" customHeight="1" x14ac:dyDescent="0.25">
      <c r="A481" s="214">
        <v>8455</v>
      </c>
      <c r="B481" s="215" t="s">
        <v>3755</v>
      </c>
      <c r="C481" s="321">
        <v>468</v>
      </c>
      <c r="D481" s="218">
        <v>0</v>
      </c>
      <c r="E481" s="218">
        <v>0</v>
      </c>
      <c r="F481" s="217" t="str">
        <f t="shared" si="7"/>
        <v>-</v>
      </c>
      <c r="G481" s="13"/>
    </row>
    <row r="482" spans="1:7" ht="14.1" customHeight="1" x14ac:dyDescent="0.25">
      <c r="A482" s="214">
        <v>8456</v>
      </c>
      <c r="B482" s="215" t="s">
        <v>3756</v>
      </c>
      <c r="C482" s="321">
        <v>469</v>
      </c>
      <c r="D482" s="218">
        <v>0</v>
      </c>
      <c r="E482" s="218">
        <v>0</v>
      </c>
      <c r="F482" s="217" t="str">
        <f t="shared" si="7"/>
        <v>-</v>
      </c>
      <c r="G482" s="13"/>
    </row>
    <row r="483" spans="1:7" ht="14.1" customHeight="1" x14ac:dyDescent="0.25">
      <c r="A483" s="214">
        <v>847</v>
      </c>
      <c r="B483" s="215" t="s">
        <v>3757</v>
      </c>
      <c r="C483" s="321">
        <v>470</v>
      </c>
      <c r="D483" s="216">
        <f>SUM(D484:D489)</f>
        <v>0</v>
      </c>
      <c r="E483" s="216">
        <f>SUM(E484:E489)</f>
        <v>0</v>
      </c>
      <c r="F483" s="217" t="str">
        <f t="shared" si="7"/>
        <v>-</v>
      </c>
      <c r="G483" s="13"/>
    </row>
    <row r="484" spans="1:7" ht="14.1" customHeight="1" x14ac:dyDescent="0.25">
      <c r="A484" s="214">
        <v>8471</v>
      </c>
      <c r="B484" s="215" t="s">
        <v>3758</v>
      </c>
      <c r="C484" s="321">
        <v>471</v>
      </c>
      <c r="D484" s="218">
        <v>0</v>
      </c>
      <c r="E484" s="218">
        <v>0</v>
      </c>
      <c r="F484" s="217" t="str">
        <f t="shared" si="7"/>
        <v>-</v>
      </c>
      <c r="G484" s="13"/>
    </row>
    <row r="485" spans="1:7" ht="14.1" customHeight="1" x14ac:dyDescent="0.25">
      <c r="A485" s="214">
        <v>8472</v>
      </c>
      <c r="B485" s="215" t="s">
        <v>3759</v>
      </c>
      <c r="C485" s="321">
        <v>472</v>
      </c>
      <c r="D485" s="218">
        <v>0</v>
      </c>
      <c r="E485" s="218">
        <v>0</v>
      </c>
      <c r="F485" s="217" t="str">
        <f t="shared" si="7"/>
        <v>-</v>
      </c>
      <c r="G485" s="13"/>
    </row>
    <row r="486" spans="1:7" ht="14.1" customHeight="1" x14ac:dyDescent="0.25">
      <c r="A486" s="214">
        <v>8473</v>
      </c>
      <c r="B486" s="215" t="s">
        <v>3760</v>
      </c>
      <c r="C486" s="321">
        <v>473</v>
      </c>
      <c r="D486" s="218">
        <v>0</v>
      </c>
      <c r="E486" s="218">
        <v>0</v>
      </c>
      <c r="F486" s="217" t="str">
        <f t="shared" si="7"/>
        <v>-</v>
      </c>
      <c r="G486" s="13"/>
    </row>
    <row r="487" spans="1:7" ht="14.1" customHeight="1" x14ac:dyDescent="0.25">
      <c r="A487" s="214">
        <v>8474</v>
      </c>
      <c r="B487" s="215" t="s">
        <v>3761</v>
      </c>
      <c r="C487" s="321">
        <v>474</v>
      </c>
      <c r="D487" s="218">
        <v>0</v>
      </c>
      <c r="E487" s="218">
        <v>0</v>
      </c>
      <c r="F487" s="217" t="str">
        <f t="shared" si="7"/>
        <v>-</v>
      </c>
      <c r="G487" s="13"/>
    </row>
    <row r="488" spans="1:7" ht="14.1" customHeight="1" x14ac:dyDescent="0.25">
      <c r="A488" s="214">
        <v>8475</v>
      </c>
      <c r="B488" s="215" t="s">
        <v>3762</v>
      </c>
      <c r="C488" s="321">
        <v>475</v>
      </c>
      <c r="D488" s="218">
        <v>0</v>
      </c>
      <c r="E488" s="218">
        <v>0</v>
      </c>
      <c r="F488" s="217" t="str">
        <f t="shared" si="7"/>
        <v>-</v>
      </c>
      <c r="G488" s="13"/>
    </row>
    <row r="489" spans="1:7" ht="14.1" customHeight="1" x14ac:dyDescent="0.25">
      <c r="A489" s="214">
        <v>8476</v>
      </c>
      <c r="B489" s="215" t="s">
        <v>3763</v>
      </c>
      <c r="C489" s="321">
        <v>476</v>
      </c>
      <c r="D489" s="218">
        <v>0</v>
      </c>
      <c r="E489" s="218">
        <v>0</v>
      </c>
      <c r="F489" s="217" t="str">
        <f t="shared" si="7"/>
        <v>-</v>
      </c>
      <c r="G489" s="13"/>
    </row>
    <row r="490" spans="1:7" ht="14.1" customHeight="1" x14ac:dyDescent="0.25">
      <c r="A490" s="214">
        <v>85</v>
      </c>
      <c r="B490" s="215" t="s">
        <v>3764</v>
      </c>
      <c r="C490" s="321">
        <v>477</v>
      </c>
      <c r="D490" s="216">
        <f>D491+D494+D497+D500</f>
        <v>0</v>
      </c>
      <c r="E490" s="216">
        <f>E491+E494+E497+E500</f>
        <v>0</v>
      </c>
      <c r="F490" s="217" t="str">
        <f t="shared" si="7"/>
        <v>-</v>
      </c>
      <c r="G490" s="13"/>
    </row>
    <row r="491" spans="1:7" ht="14.1" customHeight="1" x14ac:dyDescent="0.25">
      <c r="A491" s="214">
        <v>851</v>
      </c>
      <c r="B491" s="215" t="s">
        <v>3765</v>
      </c>
      <c r="C491" s="321">
        <v>478</v>
      </c>
      <c r="D491" s="216">
        <f>SUM(D492:D493)</f>
        <v>0</v>
      </c>
      <c r="E491" s="216">
        <f>SUM(E492:E493)</f>
        <v>0</v>
      </c>
      <c r="F491" s="217" t="str">
        <f t="shared" si="7"/>
        <v>-</v>
      </c>
      <c r="G491" s="13"/>
    </row>
    <row r="492" spans="1:7" ht="14.1" customHeight="1" x14ac:dyDescent="0.25">
      <c r="A492" s="214">
        <v>8511</v>
      </c>
      <c r="B492" s="215" t="s">
        <v>3766</v>
      </c>
      <c r="C492" s="321">
        <v>479</v>
      </c>
      <c r="D492" s="218">
        <v>0</v>
      </c>
      <c r="E492" s="218">
        <v>0</v>
      </c>
      <c r="F492" s="217" t="str">
        <f t="shared" si="7"/>
        <v>-</v>
      </c>
      <c r="G492" s="13"/>
    </row>
    <row r="493" spans="1:7" ht="14.1" customHeight="1" x14ac:dyDescent="0.25">
      <c r="A493" s="214">
        <v>8512</v>
      </c>
      <c r="B493" s="215" t="s">
        <v>3767</v>
      </c>
      <c r="C493" s="321">
        <v>480</v>
      </c>
      <c r="D493" s="218">
        <v>0</v>
      </c>
      <c r="E493" s="218">
        <v>0</v>
      </c>
      <c r="F493" s="217" t="str">
        <f t="shared" si="7"/>
        <v>-</v>
      </c>
      <c r="G493" s="13"/>
    </row>
    <row r="494" spans="1:7" ht="14.1" customHeight="1" x14ac:dyDescent="0.25">
      <c r="A494" s="214">
        <v>852</v>
      </c>
      <c r="B494" s="215" t="s">
        <v>3768</v>
      </c>
      <c r="C494" s="321">
        <v>481</v>
      </c>
      <c r="D494" s="216">
        <f>SUM(D495:D496)</f>
        <v>0</v>
      </c>
      <c r="E494" s="216">
        <f>SUM(E495:E496)</f>
        <v>0</v>
      </c>
      <c r="F494" s="217" t="str">
        <f t="shared" si="7"/>
        <v>-</v>
      </c>
      <c r="G494" s="13"/>
    </row>
    <row r="495" spans="1:7" ht="14.1" customHeight="1" x14ac:dyDescent="0.25">
      <c r="A495" s="214">
        <v>8521</v>
      </c>
      <c r="B495" s="215" t="s">
        <v>3769</v>
      </c>
      <c r="C495" s="321">
        <v>482</v>
      </c>
      <c r="D495" s="218">
        <v>0</v>
      </c>
      <c r="E495" s="218">
        <v>0</v>
      </c>
      <c r="F495" s="217" t="str">
        <f t="shared" si="7"/>
        <v>-</v>
      </c>
      <c r="G495" s="13"/>
    </row>
    <row r="496" spans="1:7" ht="14.1" customHeight="1" x14ac:dyDescent="0.25">
      <c r="A496" s="214">
        <v>8522</v>
      </c>
      <c r="B496" s="215" t="s">
        <v>3770</v>
      </c>
      <c r="C496" s="321">
        <v>483</v>
      </c>
      <c r="D496" s="218">
        <v>0</v>
      </c>
      <c r="E496" s="218">
        <v>0</v>
      </c>
      <c r="F496" s="217" t="str">
        <f t="shared" si="7"/>
        <v>-</v>
      </c>
      <c r="G496" s="13"/>
    </row>
    <row r="497" spans="1:7" ht="14.1" customHeight="1" x14ac:dyDescent="0.25">
      <c r="A497" s="214">
        <v>853</v>
      </c>
      <c r="B497" s="215" t="s">
        <v>3771</v>
      </c>
      <c r="C497" s="321">
        <v>484</v>
      </c>
      <c r="D497" s="216">
        <f>SUM(D498:D499)</f>
        <v>0</v>
      </c>
      <c r="E497" s="216">
        <f>SUM(E498:E499)</f>
        <v>0</v>
      </c>
      <c r="F497" s="217" t="str">
        <f t="shared" si="7"/>
        <v>-</v>
      </c>
      <c r="G497" s="13"/>
    </row>
    <row r="498" spans="1:7" ht="14.1" customHeight="1" x14ac:dyDescent="0.25">
      <c r="A498" s="214">
        <v>8531</v>
      </c>
      <c r="B498" s="215" t="s">
        <v>3772</v>
      </c>
      <c r="C498" s="321">
        <v>485</v>
      </c>
      <c r="D498" s="218">
        <v>0</v>
      </c>
      <c r="E498" s="218">
        <v>0</v>
      </c>
      <c r="F498" s="217" t="str">
        <f t="shared" si="7"/>
        <v>-</v>
      </c>
      <c r="G498" s="13"/>
    </row>
    <row r="499" spans="1:7" ht="14.1" customHeight="1" x14ac:dyDescent="0.25">
      <c r="A499" s="214">
        <v>8532</v>
      </c>
      <c r="B499" s="215" t="s">
        <v>1941</v>
      </c>
      <c r="C499" s="321">
        <v>486</v>
      </c>
      <c r="D499" s="218">
        <v>0</v>
      </c>
      <c r="E499" s="218">
        <v>0</v>
      </c>
      <c r="F499" s="217" t="str">
        <f t="shared" si="7"/>
        <v>-</v>
      </c>
      <c r="G499" s="13"/>
    </row>
    <row r="500" spans="1:7" ht="14.1" customHeight="1" x14ac:dyDescent="0.25">
      <c r="A500" s="214">
        <v>854</v>
      </c>
      <c r="B500" s="215" t="s">
        <v>1942</v>
      </c>
      <c r="C500" s="321">
        <v>487</v>
      </c>
      <c r="D500" s="216">
        <f>SUM(D501:D502)</f>
        <v>0</v>
      </c>
      <c r="E500" s="216">
        <f>SUM(E501:E502)</f>
        <v>0</v>
      </c>
      <c r="F500" s="217" t="str">
        <f t="shared" si="7"/>
        <v>-</v>
      </c>
      <c r="G500" s="13"/>
    </row>
    <row r="501" spans="1:7" ht="14.1" customHeight="1" x14ac:dyDescent="0.25">
      <c r="A501" s="214">
        <v>8541</v>
      </c>
      <c r="B501" s="215" t="s">
        <v>1943</v>
      </c>
      <c r="C501" s="321">
        <v>488</v>
      </c>
      <c r="D501" s="218">
        <v>0</v>
      </c>
      <c r="E501" s="218">
        <v>0</v>
      </c>
      <c r="F501" s="217" t="str">
        <f t="shared" si="7"/>
        <v>-</v>
      </c>
      <c r="G501" s="13"/>
    </row>
    <row r="502" spans="1:7" ht="14.1" customHeight="1" x14ac:dyDescent="0.25">
      <c r="A502" s="214">
        <v>8542</v>
      </c>
      <c r="B502" s="215" t="s">
        <v>2160</v>
      </c>
      <c r="C502" s="321">
        <v>489</v>
      </c>
      <c r="D502" s="218">
        <v>0</v>
      </c>
      <c r="E502" s="218">
        <v>0</v>
      </c>
      <c r="F502" s="217" t="str">
        <f t="shared" si="7"/>
        <v>-</v>
      </c>
      <c r="G502" s="13"/>
    </row>
    <row r="503" spans="1:7" ht="14.1" customHeight="1" x14ac:dyDescent="0.25">
      <c r="A503" s="214">
        <v>5</v>
      </c>
      <c r="B503" s="215" t="s">
        <v>1944</v>
      </c>
      <c r="C503" s="321">
        <v>490</v>
      </c>
      <c r="D503" s="216">
        <f>D504+D539+D552+D565+D597</f>
        <v>0</v>
      </c>
      <c r="E503" s="216">
        <f>E504+E539+E552+E565+E597</f>
        <v>0</v>
      </c>
      <c r="F503" s="217" t="str">
        <f t="shared" si="7"/>
        <v>-</v>
      </c>
      <c r="G503" s="13"/>
    </row>
    <row r="504" spans="1:7" ht="14.1" customHeight="1" x14ac:dyDescent="0.25">
      <c r="A504" s="214">
        <v>51</v>
      </c>
      <c r="B504" s="215" t="s">
        <v>1945</v>
      </c>
      <c r="C504" s="321">
        <v>491</v>
      </c>
      <c r="D504" s="216">
        <f>D505+D510+D513+D517+D519+D526+D531</f>
        <v>0</v>
      </c>
      <c r="E504" s="216">
        <f>E505+E510+E513+E517+E519+E526+E531</f>
        <v>0</v>
      </c>
      <c r="F504" s="217" t="str">
        <f t="shared" si="7"/>
        <v>-</v>
      </c>
      <c r="G504" s="13"/>
    </row>
    <row r="505" spans="1:7" ht="24.9" customHeight="1" x14ac:dyDescent="0.25">
      <c r="A505" s="214">
        <v>511</v>
      </c>
      <c r="B505" s="215" t="s">
        <v>1946</v>
      </c>
      <c r="C505" s="321">
        <v>492</v>
      </c>
      <c r="D505" s="216">
        <f>SUM(D506:D509)</f>
        <v>0</v>
      </c>
      <c r="E505" s="216">
        <f>SUM(E506:E509)</f>
        <v>0</v>
      </c>
      <c r="F505" s="217" t="str">
        <f t="shared" si="7"/>
        <v>-</v>
      </c>
      <c r="G505" s="13"/>
    </row>
    <row r="506" spans="1:7" ht="14.1" customHeight="1" x14ac:dyDescent="0.25">
      <c r="A506" s="214">
        <v>5113</v>
      </c>
      <c r="B506" s="215" t="s">
        <v>1832</v>
      </c>
      <c r="C506" s="321">
        <v>493</v>
      </c>
      <c r="D506" s="218">
        <v>0</v>
      </c>
      <c r="E506" s="218">
        <v>0</v>
      </c>
      <c r="F506" s="217" t="str">
        <f t="shared" si="7"/>
        <v>-</v>
      </c>
      <c r="G506" s="13"/>
    </row>
    <row r="507" spans="1:7" ht="14.1" customHeight="1" x14ac:dyDescent="0.25">
      <c r="A507" s="214">
        <v>5114</v>
      </c>
      <c r="B507" s="215" t="s">
        <v>1947</v>
      </c>
      <c r="C507" s="321">
        <v>494</v>
      </c>
      <c r="D507" s="218">
        <v>0</v>
      </c>
      <c r="E507" s="218">
        <v>0</v>
      </c>
      <c r="F507" s="217" t="str">
        <f t="shared" si="7"/>
        <v>-</v>
      </c>
      <c r="G507" s="13"/>
    </row>
    <row r="508" spans="1:7" ht="14.1" customHeight="1" x14ac:dyDescent="0.25">
      <c r="A508" s="214">
        <v>5115</v>
      </c>
      <c r="B508" s="215" t="s">
        <v>1948</v>
      </c>
      <c r="C508" s="321">
        <v>495</v>
      </c>
      <c r="D508" s="218">
        <v>0</v>
      </c>
      <c r="E508" s="218">
        <v>0</v>
      </c>
      <c r="F508" s="217" t="str">
        <f t="shared" si="7"/>
        <v>-</v>
      </c>
      <c r="G508" s="13"/>
    </row>
    <row r="509" spans="1:7" ht="14.1" customHeight="1" x14ac:dyDescent="0.25">
      <c r="A509" s="214">
        <v>5116</v>
      </c>
      <c r="B509" s="215" t="s">
        <v>1949</v>
      </c>
      <c r="C509" s="321">
        <v>496</v>
      </c>
      <c r="D509" s="218">
        <v>0</v>
      </c>
      <c r="E509" s="218">
        <v>0</v>
      </c>
      <c r="F509" s="217" t="str">
        <f t="shared" si="7"/>
        <v>-</v>
      </c>
      <c r="G509" s="13"/>
    </row>
    <row r="510" spans="1:7" ht="14.1" customHeight="1" x14ac:dyDescent="0.25">
      <c r="A510" s="214">
        <v>512</v>
      </c>
      <c r="B510" s="219" t="s">
        <v>3785</v>
      </c>
      <c r="C510" s="321">
        <v>497</v>
      </c>
      <c r="D510" s="216">
        <f>SUM(D511:D512)</f>
        <v>0</v>
      </c>
      <c r="E510" s="216">
        <f>SUM(E511:E512)</f>
        <v>0</v>
      </c>
      <c r="F510" s="217" t="str">
        <f t="shared" si="7"/>
        <v>-</v>
      </c>
      <c r="G510" s="13"/>
    </row>
    <row r="511" spans="1:7" ht="14.1" customHeight="1" x14ac:dyDescent="0.25">
      <c r="A511" s="214">
        <v>5121</v>
      </c>
      <c r="B511" s="215" t="s">
        <v>1833</v>
      </c>
      <c r="C511" s="321">
        <v>498</v>
      </c>
      <c r="D511" s="218">
        <v>0</v>
      </c>
      <c r="E511" s="218">
        <v>0</v>
      </c>
      <c r="F511" s="217" t="str">
        <f t="shared" si="7"/>
        <v>-</v>
      </c>
      <c r="G511" s="13"/>
    </row>
    <row r="512" spans="1:7" ht="14.1" customHeight="1" x14ac:dyDescent="0.25">
      <c r="A512" s="214">
        <v>5122</v>
      </c>
      <c r="B512" s="215" t="s">
        <v>1834</v>
      </c>
      <c r="C512" s="321">
        <v>499</v>
      </c>
      <c r="D512" s="218">
        <v>0</v>
      </c>
      <c r="E512" s="218">
        <v>0</v>
      </c>
      <c r="F512" s="217" t="str">
        <f t="shared" si="7"/>
        <v>-</v>
      </c>
      <c r="G512" s="13"/>
    </row>
    <row r="513" spans="1:7" ht="24.9" customHeight="1" x14ac:dyDescent="0.25">
      <c r="A513" s="214">
        <v>513</v>
      </c>
      <c r="B513" s="215" t="s">
        <v>1244</v>
      </c>
      <c r="C513" s="321">
        <v>500</v>
      </c>
      <c r="D513" s="216">
        <f>SUM(D514:D516)</f>
        <v>0</v>
      </c>
      <c r="E513" s="216">
        <f>SUM(E514:E516)</f>
        <v>0</v>
      </c>
      <c r="F513" s="217" t="str">
        <f t="shared" si="7"/>
        <v>-</v>
      </c>
      <c r="G513" s="13"/>
    </row>
    <row r="514" spans="1:7" ht="14.1" customHeight="1" x14ac:dyDescent="0.25">
      <c r="A514" s="214">
        <v>5132</v>
      </c>
      <c r="B514" s="215" t="s">
        <v>3786</v>
      </c>
      <c r="C514" s="321">
        <v>501</v>
      </c>
      <c r="D514" s="218">
        <v>0</v>
      </c>
      <c r="E514" s="218">
        <v>0</v>
      </c>
      <c r="F514" s="217" t="str">
        <f t="shared" ref="F514:F577" si="8">IF(D514&gt;0,IF(E514/D514&gt;=100,"&gt;&gt;100",E514/D514*100),"-")</f>
        <v>-</v>
      </c>
      <c r="G514" s="13"/>
    </row>
    <row r="515" spans="1:7" ht="14.1" customHeight="1" x14ac:dyDescent="0.25">
      <c r="A515" s="225">
        <v>5133</v>
      </c>
      <c r="B515" s="215" t="s">
        <v>3787</v>
      </c>
      <c r="C515" s="321">
        <v>502</v>
      </c>
      <c r="D515" s="218">
        <v>0</v>
      </c>
      <c r="E515" s="218">
        <v>0</v>
      </c>
      <c r="F515" s="217" t="str">
        <f t="shared" si="8"/>
        <v>-</v>
      </c>
      <c r="G515" s="13"/>
    </row>
    <row r="516" spans="1:7" ht="14.1" customHeight="1" x14ac:dyDescent="0.25">
      <c r="A516" s="225">
        <v>5134</v>
      </c>
      <c r="B516" s="215" t="s">
        <v>3788</v>
      </c>
      <c r="C516" s="321">
        <v>503</v>
      </c>
      <c r="D516" s="218">
        <v>0</v>
      </c>
      <c r="E516" s="218">
        <v>0</v>
      </c>
      <c r="F516" s="217" t="str">
        <f t="shared" si="8"/>
        <v>-</v>
      </c>
      <c r="G516" s="13"/>
    </row>
    <row r="517" spans="1:7" ht="14.1" customHeight="1" x14ac:dyDescent="0.25">
      <c r="A517" s="214">
        <v>514</v>
      </c>
      <c r="B517" s="219" t="s">
        <v>3789</v>
      </c>
      <c r="C517" s="321">
        <v>504</v>
      </c>
      <c r="D517" s="216">
        <f>D518</f>
        <v>0</v>
      </c>
      <c r="E517" s="216">
        <f>E518</f>
        <v>0</v>
      </c>
      <c r="F517" s="217" t="str">
        <f t="shared" si="8"/>
        <v>-</v>
      </c>
      <c r="G517" s="13"/>
    </row>
    <row r="518" spans="1:7" ht="14.1" customHeight="1" x14ac:dyDescent="0.25">
      <c r="A518" s="214">
        <v>5141</v>
      </c>
      <c r="B518" s="215" t="s">
        <v>1835</v>
      </c>
      <c r="C518" s="321">
        <v>505</v>
      </c>
      <c r="D518" s="218">
        <v>0</v>
      </c>
      <c r="E518" s="218">
        <v>0</v>
      </c>
      <c r="F518" s="217" t="str">
        <f t="shared" si="8"/>
        <v>-</v>
      </c>
      <c r="G518" s="13"/>
    </row>
    <row r="519" spans="1:7" ht="24.9" customHeight="1" x14ac:dyDescent="0.25">
      <c r="A519" s="214">
        <v>515</v>
      </c>
      <c r="B519" s="215" t="s">
        <v>1245</v>
      </c>
      <c r="C519" s="321">
        <v>506</v>
      </c>
      <c r="D519" s="216">
        <f>SUM(D520:D525)</f>
        <v>0</v>
      </c>
      <c r="E519" s="216">
        <f>SUM(E520:E525)</f>
        <v>0</v>
      </c>
      <c r="F519" s="217" t="str">
        <f t="shared" si="8"/>
        <v>-</v>
      </c>
      <c r="G519" s="13"/>
    </row>
    <row r="520" spans="1:7" ht="14.1" customHeight="1" x14ac:dyDescent="0.25">
      <c r="A520" s="214">
        <v>5153</v>
      </c>
      <c r="B520" s="215" t="s">
        <v>3790</v>
      </c>
      <c r="C520" s="321">
        <v>507</v>
      </c>
      <c r="D520" s="218">
        <v>0</v>
      </c>
      <c r="E520" s="218">
        <v>0</v>
      </c>
      <c r="F520" s="217" t="str">
        <f t="shared" si="8"/>
        <v>-</v>
      </c>
      <c r="G520" s="13"/>
    </row>
    <row r="521" spans="1:7" ht="14.1" customHeight="1" x14ac:dyDescent="0.25">
      <c r="A521" s="214">
        <v>5154</v>
      </c>
      <c r="B521" s="215" t="s">
        <v>3791</v>
      </c>
      <c r="C521" s="321">
        <v>508</v>
      </c>
      <c r="D521" s="218">
        <v>0</v>
      </c>
      <c r="E521" s="218">
        <v>0</v>
      </c>
      <c r="F521" s="217" t="str">
        <f t="shared" si="8"/>
        <v>-</v>
      </c>
      <c r="G521" s="13"/>
    </row>
    <row r="522" spans="1:7" ht="14.1" customHeight="1" x14ac:dyDescent="0.25">
      <c r="A522" s="214">
        <v>5155</v>
      </c>
      <c r="B522" s="215" t="s">
        <v>3792</v>
      </c>
      <c r="C522" s="321">
        <v>509</v>
      </c>
      <c r="D522" s="218">
        <v>0</v>
      </c>
      <c r="E522" s="218">
        <v>0</v>
      </c>
      <c r="F522" s="217" t="str">
        <f t="shared" si="8"/>
        <v>-</v>
      </c>
      <c r="G522" s="13"/>
    </row>
    <row r="523" spans="1:7" ht="14.1" customHeight="1" x14ac:dyDescent="0.25">
      <c r="A523" s="214">
        <v>5156</v>
      </c>
      <c r="B523" s="215" t="s">
        <v>3793</v>
      </c>
      <c r="C523" s="321">
        <v>510</v>
      </c>
      <c r="D523" s="218">
        <v>0</v>
      </c>
      <c r="E523" s="218">
        <v>0</v>
      </c>
      <c r="F523" s="217" t="str">
        <f t="shared" si="8"/>
        <v>-</v>
      </c>
      <c r="G523" s="13"/>
    </row>
    <row r="524" spans="1:7" ht="14.1" customHeight="1" x14ac:dyDescent="0.25">
      <c r="A524" s="214">
        <v>5157</v>
      </c>
      <c r="B524" s="215" t="s">
        <v>3794</v>
      </c>
      <c r="C524" s="321">
        <v>511</v>
      </c>
      <c r="D524" s="218">
        <v>0</v>
      </c>
      <c r="E524" s="218">
        <v>0</v>
      </c>
      <c r="F524" s="217" t="str">
        <f t="shared" si="8"/>
        <v>-</v>
      </c>
      <c r="G524" s="13"/>
    </row>
    <row r="525" spans="1:7" ht="14.1" customHeight="1" x14ac:dyDescent="0.25">
      <c r="A525" s="214">
        <v>5158</v>
      </c>
      <c r="B525" s="215" t="s">
        <v>3795</v>
      </c>
      <c r="C525" s="321">
        <v>512</v>
      </c>
      <c r="D525" s="218">
        <v>0</v>
      </c>
      <c r="E525" s="218">
        <v>0</v>
      </c>
      <c r="F525" s="217" t="str">
        <f t="shared" si="8"/>
        <v>-</v>
      </c>
      <c r="G525" s="13"/>
    </row>
    <row r="526" spans="1:7" ht="14.1" customHeight="1" x14ac:dyDescent="0.25">
      <c r="A526" s="214">
        <v>516</v>
      </c>
      <c r="B526" s="219" t="s">
        <v>3796</v>
      </c>
      <c r="C526" s="321">
        <v>513</v>
      </c>
      <c r="D526" s="216">
        <f>SUM(D527:D530)</f>
        <v>0</v>
      </c>
      <c r="E526" s="216">
        <f>SUM(E527:E530)</f>
        <v>0</v>
      </c>
      <c r="F526" s="217" t="str">
        <f t="shared" si="8"/>
        <v>-</v>
      </c>
      <c r="G526" s="13"/>
    </row>
    <row r="527" spans="1:7" ht="14.1" customHeight="1" x14ac:dyDescent="0.25">
      <c r="A527" s="214">
        <v>5163</v>
      </c>
      <c r="B527" s="215" t="s">
        <v>3797</v>
      </c>
      <c r="C527" s="321">
        <v>514</v>
      </c>
      <c r="D527" s="218">
        <v>0</v>
      </c>
      <c r="E527" s="218">
        <v>0</v>
      </c>
      <c r="F527" s="217" t="str">
        <f t="shared" si="8"/>
        <v>-</v>
      </c>
      <c r="G527" s="13"/>
    </row>
    <row r="528" spans="1:7" ht="14.1" customHeight="1" x14ac:dyDescent="0.25">
      <c r="A528" s="214">
        <v>5164</v>
      </c>
      <c r="B528" s="215" t="s">
        <v>3798</v>
      </c>
      <c r="C528" s="321">
        <v>515</v>
      </c>
      <c r="D528" s="218">
        <v>0</v>
      </c>
      <c r="E528" s="218">
        <v>0</v>
      </c>
      <c r="F528" s="217" t="str">
        <f t="shared" si="8"/>
        <v>-</v>
      </c>
      <c r="G528" s="13"/>
    </row>
    <row r="529" spans="1:7" ht="14.1" customHeight="1" x14ac:dyDescent="0.25">
      <c r="A529" s="214">
        <v>5165</v>
      </c>
      <c r="B529" s="215" t="s">
        <v>3799</v>
      </c>
      <c r="C529" s="321">
        <v>516</v>
      </c>
      <c r="D529" s="218">
        <v>0</v>
      </c>
      <c r="E529" s="218">
        <v>0</v>
      </c>
      <c r="F529" s="217" t="str">
        <f t="shared" si="8"/>
        <v>-</v>
      </c>
      <c r="G529" s="13"/>
    </row>
    <row r="530" spans="1:7" ht="14.1" customHeight="1" x14ac:dyDescent="0.25">
      <c r="A530" s="214">
        <v>5166</v>
      </c>
      <c r="B530" s="215" t="s">
        <v>3800</v>
      </c>
      <c r="C530" s="321">
        <v>517</v>
      </c>
      <c r="D530" s="218">
        <v>0</v>
      </c>
      <c r="E530" s="218">
        <v>0</v>
      </c>
      <c r="F530" s="217" t="str">
        <f t="shared" si="8"/>
        <v>-</v>
      </c>
      <c r="G530" s="13"/>
    </row>
    <row r="531" spans="1:7" ht="14.1" customHeight="1" x14ac:dyDescent="0.25">
      <c r="A531" s="214">
        <v>517</v>
      </c>
      <c r="B531" s="215" t="s">
        <v>3801</v>
      </c>
      <c r="C531" s="321">
        <v>518</v>
      </c>
      <c r="D531" s="216">
        <f>SUM(D532:D538)</f>
        <v>0</v>
      </c>
      <c r="E531" s="216">
        <f>SUM(E532:E538)</f>
        <v>0</v>
      </c>
      <c r="F531" s="217" t="str">
        <f t="shared" si="8"/>
        <v>-</v>
      </c>
      <c r="G531" s="13"/>
    </row>
    <row r="532" spans="1:7" ht="14.1" customHeight="1" x14ac:dyDescent="0.25">
      <c r="A532" s="214">
        <v>5171</v>
      </c>
      <c r="B532" s="215" t="s">
        <v>3802</v>
      </c>
      <c r="C532" s="321">
        <v>519</v>
      </c>
      <c r="D532" s="218">
        <v>0</v>
      </c>
      <c r="E532" s="218">
        <v>0</v>
      </c>
      <c r="F532" s="217" t="str">
        <f t="shared" si="8"/>
        <v>-</v>
      </c>
      <c r="G532" s="13"/>
    </row>
    <row r="533" spans="1:7" ht="14.1" customHeight="1" x14ac:dyDescent="0.25">
      <c r="A533" s="214">
        <v>5172</v>
      </c>
      <c r="B533" s="215" t="s">
        <v>3803</v>
      </c>
      <c r="C533" s="321">
        <v>520</v>
      </c>
      <c r="D533" s="218">
        <v>0</v>
      </c>
      <c r="E533" s="218">
        <v>0</v>
      </c>
      <c r="F533" s="217" t="str">
        <f t="shared" si="8"/>
        <v>-</v>
      </c>
      <c r="G533" s="13"/>
    </row>
    <row r="534" spans="1:7" ht="14.1" customHeight="1" x14ac:dyDescent="0.25">
      <c r="A534" s="214">
        <v>5173</v>
      </c>
      <c r="B534" s="215" t="s">
        <v>3804</v>
      </c>
      <c r="C534" s="321">
        <v>521</v>
      </c>
      <c r="D534" s="218">
        <v>0</v>
      </c>
      <c r="E534" s="218">
        <v>0</v>
      </c>
      <c r="F534" s="217" t="str">
        <f t="shared" si="8"/>
        <v>-</v>
      </c>
      <c r="G534" s="13"/>
    </row>
    <row r="535" spans="1:7" ht="14.1" customHeight="1" x14ac:dyDescent="0.25">
      <c r="A535" s="214">
        <v>5174</v>
      </c>
      <c r="B535" s="215" t="s">
        <v>3805</v>
      </c>
      <c r="C535" s="321">
        <v>522</v>
      </c>
      <c r="D535" s="218">
        <v>0</v>
      </c>
      <c r="E535" s="218">
        <v>0</v>
      </c>
      <c r="F535" s="217" t="str">
        <f t="shared" si="8"/>
        <v>-</v>
      </c>
      <c r="G535" s="13"/>
    </row>
    <row r="536" spans="1:7" ht="14.1" customHeight="1" x14ac:dyDescent="0.25">
      <c r="A536" s="214">
        <v>5175</v>
      </c>
      <c r="B536" s="215" t="s">
        <v>3806</v>
      </c>
      <c r="C536" s="321">
        <v>523</v>
      </c>
      <c r="D536" s="218">
        <v>0</v>
      </c>
      <c r="E536" s="218">
        <v>0</v>
      </c>
      <c r="F536" s="217" t="str">
        <f t="shared" si="8"/>
        <v>-</v>
      </c>
      <c r="G536" s="13"/>
    </row>
    <row r="537" spans="1:7" ht="14.1" customHeight="1" x14ac:dyDescent="0.25">
      <c r="A537" s="214">
        <v>5176</v>
      </c>
      <c r="B537" s="215" t="s">
        <v>3807</v>
      </c>
      <c r="C537" s="321">
        <v>524</v>
      </c>
      <c r="D537" s="218">
        <v>0</v>
      </c>
      <c r="E537" s="218">
        <v>0</v>
      </c>
      <c r="F537" s="217" t="str">
        <f t="shared" si="8"/>
        <v>-</v>
      </c>
      <c r="G537" s="13"/>
    </row>
    <row r="538" spans="1:7" ht="14.1" customHeight="1" x14ac:dyDescent="0.25">
      <c r="A538" s="214">
        <v>5177</v>
      </c>
      <c r="B538" s="215" t="s">
        <v>3808</v>
      </c>
      <c r="C538" s="321">
        <v>525</v>
      </c>
      <c r="D538" s="218">
        <v>0</v>
      </c>
      <c r="E538" s="218">
        <v>0</v>
      </c>
      <c r="F538" s="217" t="str">
        <f t="shared" si="8"/>
        <v>-</v>
      </c>
      <c r="G538" s="13"/>
    </row>
    <row r="539" spans="1:7" ht="14.1" customHeight="1" x14ac:dyDescent="0.25">
      <c r="A539" s="214">
        <v>52</v>
      </c>
      <c r="B539" s="215" t="s">
        <v>3809</v>
      </c>
      <c r="C539" s="321">
        <v>526</v>
      </c>
      <c r="D539" s="216">
        <f>D540+D543+D546+D549</f>
        <v>0</v>
      </c>
      <c r="E539" s="216">
        <f>E540+E543+E546+E549</f>
        <v>0</v>
      </c>
      <c r="F539" s="217" t="str">
        <f t="shared" si="8"/>
        <v>-</v>
      </c>
      <c r="G539" s="13"/>
    </row>
    <row r="540" spans="1:7" ht="14.1" customHeight="1" x14ac:dyDescent="0.25">
      <c r="A540" s="214">
        <v>521</v>
      </c>
      <c r="B540" s="215" t="s">
        <v>3810</v>
      </c>
      <c r="C540" s="321">
        <v>527</v>
      </c>
      <c r="D540" s="216">
        <f>SUM(D541:D542)</f>
        <v>0</v>
      </c>
      <c r="E540" s="216">
        <f>SUM(E541:E542)</f>
        <v>0</v>
      </c>
      <c r="F540" s="217" t="str">
        <f t="shared" si="8"/>
        <v>-</v>
      </c>
      <c r="G540" s="13"/>
    </row>
    <row r="541" spans="1:7" ht="14.1" customHeight="1" x14ac:dyDescent="0.25">
      <c r="A541" s="214">
        <v>5211</v>
      </c>
      <c r="B541" s="215" t="s">
        <v>1067</v>
      </c>
      <c r="C541" s="321">
        <v>528</v>
      </c>
      <c r="D541" s="218">
        <v>0</v>
      </c>
      <c r="E541" s="218">
        <v>0</v>
      </c>
      <c r="F541" s="217" t="str">
        <f t="shared" si="8"/>
        <v>-</v>
      </c>
      <c r="G541" s="13"/>
    </row>
    <row r="542" spans="1:7" ht="14.1" customHeight="1" x14ac:dyDescent="0.25">
      <c r="A542" s="214">
        <v>5212</v>
      </c>
      <c r="B542" s="215" t="s">
        <v>2277</v>
      </c>
      <c r="C542" s="321">
        <v>529</v>
      </c>
      <c r="D542" s="218">
        <v>0</v>
      </c>
      <c r="E542" s="218">
        <v>0</v>
      </c>
      <c r="F542" s="217" t="str">
        <f t="shared" si="8"/>
        <v>-</v>
      </c>
      <c r="G542" s="13"/>
    </row>
    <row r="543" spans="1:7" ht="14.1" customHeight="1" x14ac:dyDescent="0.25">
      <c r="A543" s="214">
        <v>522</v>
      </c>
      <c r="B543" s="215" t="s">
        <v>3811</v>
      </c>
      <c r="C543" s="321">
        <v>530</v>
      </c>
      <c r="D543" s="216">
        <f>SUM(D544:D545)</f>
        <v>0</v>
      </c>
      <c r="E543" s="216">
        <f>SUM(E544:E545)</f>
        <v>0</v>
      </c>
      <c r="F543" s="217" t="str">
        <f t="shared" si="8"/>
        <v>-</v>
      </c>
      <c r="G543" s="13"/>
    </row>
    <row r="544" spans="1:7" ht="14.1" customHeight="1" x14ac:dyDescent="0.25">
      <c r="A544" s="214">
        <v>5221</v>
      </c>
      <c r="B544" s="215" t="s">
        <v>3008</v>
      </c>
      <c r="C544" s="321">
        <v>531</v>
      </c>
      <c r="D544" s="218">
        <v>0</v>
      </c>
      <c r="E544" s="218">
        <v>0</v>
      </c>
      <c r="F544" s="217" t="str">
        <f t="shared" si="8"/>
        <v>-</v>
      </c>
      <c r="G544" s="13"/>
    </row>
    <row r="545" spans="1:7" ht="14.1" customHeight="1" x14ac:dyDescent="0.25">
      <c r="A545" s="214">
        <v>5222</v>
      </c>
      <c r="B545" s="215" t="s">
        <v>3009</v>
      </c>
      <c r="C545" s="321">
        <v>532</v>
      </c>
      <c r="D545" s="218">
        <v>0</v>
      </c>
      <c r="E545" s="218">
        <v>0</v>
      </c>
      <c r="F545" s="217" t="str">
        <f t="shared" si="8"/>
        <v>-</v>
      </c>
      <c r="G545" s="13"/>
    </row>
    <row r="546" spans="1:7" ht="14.1" customHeight="1" x14ac:dyDescent="0.25">
      <c r="A546" s="214">
        <v>523</v>
      </c>
      <c r="B546" s="215" t="s">
        <v>3812</v>
      </c>
      <c r="C546" s="321">
        <v>533</v>
      </c>
      <c r="D546" s="216">
        <f>SUM(D547:D548)</f>
        <v>0</v>
      </c>
      <c r="E546" s="216">
        <f>SUM(E547:E548)</f>
        <v>0</v>
      </c>
      <c r="F546" s="217" t="str">
        <f t="shared" si="8"/>
        <v>-</v>
      </c>
      <c r="G546" s="13"/>
    </row>
    <row r="547" spans="1:7" ht="14.1" customHeight="1" x14ac:dyDescent="0.25">
      <c r="A547" s="214">
        <v>5231</v>
      </c>
      <c r="B547" s="215" t="s">
        <v>806</v>
      </c>
      <c r="C547" s="321">
        <v>534</v>
      </c>
      <c r="D547" s="218">
        <v>0</v>
      </c>
      <c r="E547" s="218">
        <v>0</v>
      </c>
      <c r="F547" s="217" t="str">
        <f t="shared" si="8"/>
        <v>-</v>
      </c>
      <c r="G547" s="13"/>
    </row>
    <row r="548" spans="1:7" ht="14.1" customHeight="1" x14ac:dyDescent="0.25">
      <c r="A548" s="214">
        <v>5232</v>
      </c>
      <c r="B548" s="215" t="s">
        <v>807</v>
      </c>
      <c r="C548" s="321">
        <v>535</v>
      </c>
      <c r="D548" s="218">
        <v>0</v>
      </c>
      <c r="E548" s="218">
        <v>0</v>
      </c>
      <c r="F548" s="217" t="str">
        <f t="shared" si="8"/>
        <v>-</v>
      </c>
      <c r="G548" s="13"/>
    </row>
    <row r="549" spans="1:7" ht="14.1" customHeight="1" x14ac:dyDescent="0.25">
      <c r="A549" s="214">
        <v>524</v>
      </c>
      <c r="B549" s="215" t="s">
        <v>3813</v>
      </c>
      <c r="C549" s="321">
        <v>536</v>
      </c>
      <c r="D549" s="216">
        <f>SUM(D550:D551)</f>
        <v>0</v>
      </c>
      <c r="E549" s="216">
        <f>SUM(E550:E551)</f>
        <v>0</v>
      </c>
      <c r="F549" s="217" t="str">
        <f t="shared" si="8"/>
        <v>-</v>
      </c>
      <c r="G549" s="13"/>
    </row>
    <row r="550" spans="1:7" ht="14.1" customHeight="1" x14ac:dyDescent="0.25">
      <c r="A550" s="225">
        <v>5241</v>
      </c>
      <c r="B550" s="215" t="s">
        <v>4097</v>
      </c>
      <c r="C550" s="321">
        <v>537</v>
      </c>
      <c r="D550" s="218">
        <v>0</v>
      </c>
      <c r="E550" s="218">
        <v>0</v>
      </c>
      <c r="F550" s="217" t="str">
        <f t="shared" si="8"/>
        <v>-</v>
      </c>
      <c r="G550" s="13"/>
    </row>
    <row r="551" spans="1:7" ht="14.1" customHeight="1" x14ac:dyDescent="0.25">
      <c r="A551" s="225">
        <v>5242</v>
      </c>
      <c r="B551" s="215" t="s">
        <v>2160</v>
      </c>
      <c r="C551" s="321">
        <v>538</v>
      </c>
      <c r="D551" s="218">
        <v>0</v>
      </c>
      <c r="E551" s="218">
        <v>0</v>
      </c>
      <c r="F551" s="217" t="str">
        <f t="shared" si="8"/>
        <v>-</v>
      </c>
      <c r="G551" s="13"/>
    </row>
    <row r="552" spans="1:7" ht="14.1" customHeight="1" x14ac:dyDescent="0.25">
      <c r="A552" s="214">
        <v>53</v>
      </c>
      <c r="B552" s="215" t="s">
        <v>3444</v>
      </c>
      <c r="C552" s="321">
        <v>539</v>
      </c>
      <c r="D552" s="216">
        <f>D553+D557+D559+D562</f>
        <v>0</v>
      </c>
      <c r="E552" s="216">
        <f>E553+E557+E559+E562</f>
        <v>0</v>
      </c>
      <c r="F552" s="217" t="str">
        <f t="shared" si="8"/>
        <v>-</v>
      </c>
      <c r="G552" s="13"/>
    </row>
    <row r="553" spans="1:7" ht="14.1" customHeight="1" x14ac:dyDescent="0.25">
      <c r="A553" s="214">
        <v>531</v>
      </c>
      <c r="B553" s="219" t="s">
        <v>3445</v>
      </c>
      <c r="C553" s="321">
        <v>540</v>
      </c>
      <c r="D553" s="216">
        <f>SUM(D554:D556)</f>
        <v>0</v>
      </c>
      <c r="E553" s="216">
        <f>SUM(E554:E556)</f>
        <v>0</v>
      </c>
      <c r="F553" s="217" t="str">
        <f t="shared" si="8"/>
        <v>-</v>
      </c>
      <c r="G553" s="13"/>
    </row>
    <row r="554" spans="1:7" ht="14.1" customHeight="1" x14ac:dyDescent="0.25">
      <c r="A554" s="214">
        <v>5312</v>
      </c>
      <c r="B554" s="215" t="s">
        <v>2949</v>
      </c>
      <c r="C554" s="321">
        <v>541</v>
      </c>
      <c r="D554" s="218">
        <v>0</v>
      </c>
      <c r="E554" s="218">
        <v>0</v>
      </c>
      <c r="F554" s="217" t="str">
        <f t="shared" si="8"/>
        <v>-</v>
      </c>
      <c r="G554" s="13"/>
    </row>
    <row r="555" spans="1:7" ht="14.1" customHeight="1" x14ac:dyDescent="0.25">
      <c r="A555" s="214">
        <v>5313</v>
      </c>
      <c r="B555" s="215" t="s">
        <v>2950</v>
      </c>
      <c r="C555" s="321">
        <v>542</v>
      </c>
      <c r="D555" s="218">
        <v>0</v>
      </c>
      <c r="E555" s="218">
        <v>0</v>
      </c>
      <c r="F555" s="217" t="str">
        <f t="shared" si="8"/>
        <v>-</v>
      </c>
      <c r="G555" s="13"/>
    </row>
    <row r="556" spans="1:7" ht="14.1" customHeight="1" x14ac:dyDescent="0.25">
      <c r="A556" s="214">
        <v>5314</v>
      </c>
      <c r="B556" s="215" t="s">
        <v>2951</v>
      </c>
      <c r="C556" s="321">
        <v>543</v>
      </c>
      <c r="D556" s="218">
        <v>0</v>
      </c>
      <c r="E556" s="218">
        <v>0</v>
      </c>
      <c r="F556" s="217" t="str">
        <f t="shared" si="8"/>
        <v>-</v>
      </c>
      <c r="G556" s="13"/>
    </row>
    <row r="557" spans="1:7" ht="14.1" customHeight="1" x14ac:dyDescent="0.25">
      <c r="A557" s="214">
        <v>532</v>
      </c>
      <c r="B557" s="215" t="s">
        <v>3446</v>
      </c>
      <c r="C557" s="321">
        <v>544</v>
      </c>
      <c r="D557" s="216">
        <f>D558</f>
        <v>0</v>
      </c>
      <c r="E557" s="216">
        <f>E558</f>
        <v>0</v>
      </c>
      <c r="F557" s="217" t="str">
        <f t="shared" si="8"/>
        <v>-</v>
      </c>
      <c r="G557" s="13"/>
    </row>
    <row r="558" spans="1:7" ht="14.1" customHeight="1" x14ac:dyDescent="0.25">
      <c r="A558" s="214">
        <v>5321</v>
      </c>
      <c r="B558" s="215" t="s">
        <v>1883</v>
      </c>
      <c r="C558" s="321">
        <v>545</v>
      </c>
      <c r="D558" s="218">
        <v>0</v>
      </c>
      <c r="E558" s="218">
        <v>0</v>
      </c>
      <c r="F558" s="217" t="str">
        <f t="shared" si="8"/>
        <v>-</v>
      </c>
      <c r="G558" s="13"/>
    </row>
    <row r="559" spans="1:7" ht="24.9" customHeight="1" x14ac:dyDescent="0.25">
      <c r="A559" s="214">
        <v>533</v>
      </c>
      <c r="B559" s="215" t="s">
        <v>1246</v>
      </c>
      <c r="C559" s="321">
        <v>546</v>
      </c>
      <c r="D559" s="216">
        <f>SUM(D560:D561)</f>
        <v>0</v>
      </c>
      <c r="E559" s="216">
        <f>SUM(E560:E561)</f>
        <v>0</v>
      </c>
      <c r="F559" s="217" t="str">
        <f t="shared" si="8"/>
        <v>-</v>
      </c>
      <c r="G559" s="13"/>
    </row>
    <row r="560" spans="1:7" ht="14.1" customHeight="1" x14ac:dyDescent="0.25">
      <c r="A560" s="214">
        <v>5331</v>
      </c>
      <c r="B560" s="219" t="s">
        <v>3447</v>
      </c>
      <c r="C560" s="321">
        <v>547</v>
      </c>
      <c r="D560" s="218">
        <v>0</v>
      </c>
      <c r="E560" s="218">
        <v>0</v>
      </c>
      <c r="F560" s="217" t="str">
        <f t="shared" si="8"/>
        <v>-</v>
      </c>
      <c r="G560" s="13"/>
    </row>
    <row r="561" spans="1:7" ht="14.1" customHeight="1" x14ac:dyDescent="0.25">
      <c r="A561" s="214">
        <v>5332</v>
      </c>
      <c r="B561" s="215" t="s">
        <v>3310</v>
      </c>
      <c r="C561" s="321">
        <v>548</v>
      </c>
      <c r="D561" s="218">
        <v>0</v>
      </c>
      <c r="E561" s="218">
        <v>0</v>
      </c>
      <c r="F561" s="217" t="str">
        <f t="shared" si="8"/>
        <v>-</v>
      </c>
      <c r="G561" s="13"/>
    </row>
    <row r="562" spans="1:7" ht="14.1" customHeight="1" x14ac:dyDescent="0.25">
      <c r="A562" s="225">
        <v>534</v>
      </c>
      <c r="B562" s="215" t="s">
        <v>4148</v>
      </c>
      <c r="C562" s="321">
        <v>549</v>
      </c>
      <c r="D562" s="216">
        <f>SUM(D563:D564)</f>
        <v>0</v>
      </c>
      <c r="E562" s="216">
        <f>SUM(E563:E564)</f>
        <v>0</v>
      </c>
      <c r="F562" s="217" t="str">
        <f t="shared" si="8"/>
        <v>-</v>
      </c>
      <c r="G562" s="13"/>
    </row>
    <row r="563" spans="1:7" ht="14.1" customHeight="1" x14ac:dyDescent="0.25">
      <c r="A563" s="214">
        <v>5341</v>
      </c>
      <c r="B563" s="215" t="s">
        <v>203</v>
      </c>
      <c r="C563" s="321">
        <v>550</v>
      </c>
      <c r="D563" s="218">
        <v>0</v>
      </c>
      <c r="E563" s="218">
        <v>0</v>
      </c>
      <c r="F563" s="217" t="str">
        <f t="shared" si="8"/>
        <v>-</v>
      </c>
      <c r="G563" s="13"/>
    </row>
    <row r="564" spans="1:7" ht="14.1" customHeight="1" x14ac:dyDescent="0.25">
      <c r="A564" s="214">
        <v>5342</v>
      </c>
      <c r="B564" s="215" t="s">
        <v>3302</v>
      </c>
      <c r="C564" s="321">
        <v>551</v>
      </c>
      <c r="D564" s="218">
        <v>0</v>
      </c>
      <c r="E564" s="218">
        <v>0</v>
      </c>
      <c r="F564" s="217" t="str">
        <f t="shared" si="8"/>
        <v>-</v>
      </c>
      <c r="G564" s="13"/>
    </row>
    <row r="565" spans="1:7" ht="14.1" customHeight="1" x14ac:dyDescent="0.25">
      <c r="A565" s="214">
        <v>54</v>
      </c>
      <c r="B565" s="215" t="s">
        <v>145</v>
      </c>
      <c r="C565" s="321">
        <v>552</v>
      </c>
      <c r="D565" s="216">
        <f>D566+D571+D575+D577+D584+D589</f>
        <v>0</v>
      </c>
      <c r="E565" s="216">
        <f>E566+E571+E575+E577+E584+E589</f>
        <v>0</v>
      </c>
      <c r="F565" s="217" t="str">
        <f t="shared" si="8"/>
        <v>-</v>
      </c>
      <c r="G565" s="13"/>
    </row>
    <row r="566" spans="1:7" ht="24.9" customHeight="1" x14ac:dyDescent="0.25">
      <c r="A566" s="214">
        <v>541</v>
      </c>
      <c r="B566" s="215" t="s">
        <v>146</v>
      </c>
      <c r="C566" s="321">
        <v>553</v>
      </c>
      <c r="D566" s="216">
        <f>SUM(D567:D570)</f>
        <v>0</v>
      </c>
      <c r="E566" s="216">
        <f>SUM(E567:E570)</f>
        <v>0</v>
      </c>
      <c r="F566" s="217" t="str">
        <f t="shared" si="8"/>
        <v>-</v>
      </c>
      <c r="G566" s="13"/>
    </row>
    <row r="567" spans="1:7" ht="14.1" customHeight="1" x14ac:dyDescent="0.25">
      <c r="A567" s="214">
        <v>5413</v>
      </c>
      <c r="B567" s="215" t="s">
        <v>4099</v>
      </c>
      <c r="C567" s="321">
        <v>554</v>
      </c>
      <c r="D567" s="218">
        <v>0</v>
      </c>
      <c r="E567" s="218">
        <v>0</v>
      </c>
      <c r="F567" s="217" t="str">
        <f t="shared" si="8"/>
        <v>-</v>
      </c>
      <c r="G567" s="13"/>
    </row>
    <row r="568" spans="1:7" ht="14.1" customHeight="1" x14ac:dyDescent="0.25">
      <c r="A568" s="214">
        <v>5414</v>
      </c>
      <c r="B568" s="215" t="s">
        <v>147</v>
      </c>
      <c r="C568" s="321">
        <v>555</v>
      </c>
      <c r="D568" s="218">
        <v>0</v>
      </c>
      <c r="E568" s="218">
        <v>0</v>
      </c>
      <c r="F568" s="217" t="str">
        <f t="shared" si="8"/>
        <v>-</v>
      </c>
      <c r="G568" s="13"/>
    </row>
    <row r="569" spans="1:7" ht="14.1" customHeight="1" x14ac:dyDescent="0.25">
      <c r="A569" s="214">
        <v>5415</v>
      </c>
      <c r="B569" s="215" t="s">
        <v>148</v>
      </c>
      <c r="C569" s="321">
        <v>556</v>
      </c>
      <c r="D569" s="218">
        <v>0</v>
      </c>
      <c r="E569" s="218">
        <v>0</v>
      </c>
      <c r="F569" s="217" t="str">
        <f t="shared" si="8"/>
        <v>-</v>
      </c>
      <c r="G569" s="13"/>
    </row>
    <row r="570" spans="1:7" ht="14.1" customHeight="1" x14ac:dyDescent="0.25">
      <c r="A570" s="214">
        <v>5416</v>
      </c>
      <c r="B570" s="215" t="s">
        <v>149</v>
      </c>
      <c r="C570" s="321">
        <v>557</v>
      </c>
      <c r="D570" s="218">
        <v>0</v>
      </c>
      <c r="E570" s="218">
        <v>0</v>
      </c>
      <c r="F570" s="217" t="str">
        <f t="shared" si="8"/>
        <v>-</v>
      </c>
      <c r="G570" s="13"/>
    </row>
    <row r="571" spans="1:7" ht="24.9" customHeight="1" x14ac:dyDescent="0.25">
      <c r="A571" s="214">
        <v>542</v>
      </c>
      <c r="B571" s="215" t="s">
        <v>150</v>
      </c>
      <c r="C571" s="321">
        <v>558</v>
      </c>
      <c r="D571" s="216">
        <f>SUM(D572:D574)</f>
        <v>0</v>
      </c>
      <c r="E571" s="216">
        <f>SUM(E572:E574)</f>
        <v>0</v>
      </c>
      <c r="F571" s="217" t="str">
        <f t="shared" si="8"/>
        <v>-</v>
      </c>
      <c r="G571" s="13"/>
    </row>
    <row r="572" spans="1:7" ht="14.1" customHeight="1" x14ac:dyDescent="0.25">
      <c r="A572" s="214">
        <v>5422</v>
      </c>
      <c r="B572" s="215" t="s">
        <v>151</v>
      </c>
      <c r="C572" s="321">
        <v>559</v>
      </c>
      <c r="D572" s="218">
        <v>0</v>
      </c>
      <c r="E572" s="218">
        <v>0</v>
      </c>
      <c r="F572" s="217" t="str">
        <f t="shared" si="8"/>
        <v>-</v>
      </c>
      <c r="G572" s="13"/>
    </row>
    <row r="573" spans="1:7" ht="14.1" customHeight="1" x14ac:dyDescent="0.25">
      <c r="A573" s="214">
        <v>5423</v>
      </c>
      <c r="B573" s="215" t="s">
        <v>152</v>
      </c>
      <c r="C573" s="321">
        <v>560</v>
      </c>
      <c r="D573" s="218">
        <v>0</v>
      </c>
      <c r="E573" s="218">
        <v>0</v>
      </c>
      <c r="F573" s="217" t="str">
        <f t="shared" si="8"/>
        <v>-</v>
      </c>
      <c r="G573" s="13"/>
    </row>
    <row r="574" spans="1:7" ht="14.1" customHeight="1" x14ac:dyDescent="0.25">
      <c r="A574" s="214">
        <v>5424</v>
      </c>
      <c r="B574" s="215" t="s">
        <v>153</v>
      </c>
      <c r="C574" s="321">
        <v>561</v>
      </c>
      <c r="D574" s="218">
        <v>0</v>
      </c>
      <c r="E574" s="218">
        <v>0</v>
      </c>
      <c r="F574" s="217" t="str">
        <f t="shared" si="8"/>
        <v>-</v>
      </c>
      <c r="G574" s="13"/>
    </row>
    <row r="575" spans="1:7" ht="14.1" customHeight="1" x14ac:dyDescent="0.25">
      <c r="A575" s="214">
        <v>543</v>
      </c>
      <c r="B575" s="215" t="s">
        <v>154</v>
      </c>
      <c r="C575" s="321">
        <v>562</v>
      </c>
      <c r="D575" s="216">
        <f>D576</f>
        <v>0</v>
      </c>
      <c r="E575" s="216">
        <f>E576</f>
        <v>0</v>
      </c>
      <c r="F575" s="217" t="str">
        <f t="shared" si="8"/>
        <v>-</v>
      </c>
      <c r="G575" s="13"/>
    </row>
    <row r="576" spans="1:7" ht="14.1" customHeight="1" x14ac:dyDescent="0.25">
      <c r="A576" s="214">
        <v>5431</v>
      </c>
      <c r="B576" s="215" t="s">
        <v>511</v>
      </c>
      <c r="C576" s="321">
        <v>563</v>
      </c>
      <c r="D576" s="218">
        <v>0</v>
      </c>
      <c r="E576" s="218">
        <v>0</v>
      </c>
      <c r="F576" s="217" t="str">
        <f t="shared" si="8"/>
        <v>-</v>
      </c>
      <c r="G576" s="13"/>
    </row>
    <row r="577" spans="1:7" ht="24.9" customHeight="1" x14ac:dyDescent="0.25">
      <c r="A577" s="214">
        <v>544</v>
      </c>
      <c r="B577" s="215" t="s">
        <v>155</v>
      </c>
      <c r="C577" s="321">
        <v>564</v>
      </c>
      <c r="D577" s="216">
        <f>SUM(D578:D583)</f>
        <v>0</v>
      </c>
      <c r="E577" s="216">
        <f>SUM(E578:E583)</f>
        <v>0</v>
      </c>
      <c r="F577" s="217" t="str">
        <f t="shared" si="8"/>
        <v>-</v>
      </c>
      <c r="G577" s="13"/>
    </row>
    <row r="578" spans="1:7" ht="14.1" customHeight="1" x14ac:dyDescent="0.25">
      <c r="A578" s="214">
        <v>5443</v>
      </c>
      <c r="B578" s="215" t="s">
        <v>156</v>
      </c>
      <c r="C578" s="321">
        <v>565</v>
      </c>
      <c r="D578" s="218">
        <v>0</v>
      </c>
      <c r="E578" s="218">
        <v>0</v>
      </c>
      <c r="F578" s="217" t="str">
        <f t="shared" ref="F578:F631" si="9">IF(D578&gt;0,IF(E578/D578&gt;=100,"&gt;&gt;100",E578/D578*100),"-")</f>
        <v>-</v>
      </c>
      <c r="G578" s="13"/>
    </row>
    <row r="579" spans="1:7" ht="14.1" customHeight="1" x14ac:dyDescent="0.25">
      <c r="A579" s="214">
        <v>5444</v>
      </c>
      <c r="B579" s="219" t="s">
        <v>157</v>
      </c>
      <c r="C579" s="321">
        <v>566</v>
      </c>
      <c r="D579" s="218">
        <v>0</v>
      </c>
      <c r="E579" s="218">
        <v>0</v>
      </c>
      <c r="F579" s="217" t="str">
        <f t="shared" si="9"/>
        <v>-</v>
      </c>
      <c r="G579" s="13"/>
    </row>
    <row r="580" spans="1:7" ht="24.9" customHeight="1" x14ac:dyDescent="0.25">
      <c r="A580" s="225">
        <v>5445</v>
      </c>
      <c r="B580" s="215" t="s">
        <v>1248</v>
      </c>
      <c r="C580" s="321">
        <v>567</v>
      </c>
      <c r="D580" s="218">
        <v>0</v>
      </c>
      <c r="E580" s="218">
        <v>0</v>
      </c>
      <c r="F580" s="217" t="str">
        <f t="shared" si="9"/>
        <v>-</v>
      </c>
      <c r="G580" s="13"/>
    </row>
    <row r="581" spans="1:7" ht="14.1" customHeight="1" x14ac:dyDescent="0.25">
      <c r="A581" s="214">
        <v>5446</v>
      </c>
      <c r="B581" s="215" t="s">
        <v>158</v>
      </c>
      <c r="C581" s="321">
        <v>568</v>
      </c>
      <c r="D581" s="218">
        <v>0</v>
      </c>
      <c r="E581" s="218">
        <v>0</v>
      </c>
      <c r="F581" s="217" t="str">
        <f t="shared" si="9"/>
        <v>-</v>
      </c>
      <c r="G581" s="13"/>
    </row>
    <row r="582" spans="1:7" ht="14.1" customHeight="1" x14ac:dyDescent="0.25">
      <c r="A582" s="214">
        <v>5447</v>
      </c>
      <c r="B582" s="215" t="s">
        <v>159</v>
      </c>
      <c r="C582" s="321">
        <v>569</v>
      </c>
      <c r="D582" s="218">
        <v>0</v>
      </c>
      <c r="E582" s="218">
        <v>0</v>
      </c>
      <c r="F582" s="217" t="str">
        <f t="shared" si="9"/>
        <v>-</v>
      </c>
      <c r="G582" s="13"/>
    </row>
    <row r="583" spans="1:7" ht="14.1" customHeight="1" x14ac:dyDescent="0.25">
      <c r="A583" s="214">
        <v>5448</v>
      </c>
      <c r="B583" s="215" t="s">
        <v>1823</v>
      </c>
      <c r="C583" s="321">
        <v>570</v>
      </c>
      <c r="D583" s="218">
        <v>0</v>
      </c>
      <c r="E583" s="218">
        <v>0</v>
      </c>
      <c r="F583" s="217" t="str">
        <f t="shared" si="9"/>
        <v>-</v>
      </c>
      <c r="G583" s="13"/>
    </row>
    <row r="584" spans="1:7" ht="24.9" customHeight="1" x14ac:dyDescent="0.25">
      <c r="A584" s="214">
        <v>545</v>
      </c>
      <c r="B584" s="215" t="s">
        <v>1247</v>
      </c>
      <c r="C584" s="321">
        <v>571</v>
      </c>
      <c r="D584" s="216">
        <f>SUM(D585:D588)</f>
        <v>0</v>
      </c>
      <c r="E584" s="216">
        <f>SUM(E585:E588)</f>
        <v>0</v>
      </c>
      <c r="F584" s="217" t="str">
        <f t="shared" si="9"/>
        <v>-</v>
      </c>
      <c r="G584" s="13"/>
    </row>
    <row r="585" spans="1:7" ht="14.1" customHeight="1" x14ac:dyDescent="0.25">
      <c r="A585" s="214">
        <v>5453</v>
      </c>
      <c r="B585" s="215" t="s">
        <v>3374</v>
      </c>
      <c r="C585" s="321">
        <v>572</v>
      </c>
      <c r="D585" s="218">
        <v>0</v>
      </c>
      <c r="E585" s="218">
        <v>0</v>
      </c>
      <c r="F585" s="217" t="str">
        <f t="shared" si="9"/>
        <v>-</v>
      </c>
      <c r="G585" s="13"/>
    </row>
    <row r="586" spans="1:7" ht="14.1" customHeight="1" x14ac:dyDescent="0.25">
      <c r="A586" s="214">
        <v>5454</v>
      </c>
      <c r="B586" s="215" t="s">
        <v>3375</v>
      </c>
      <c r="C586" s="321">
        <v>573</v>
      </c>
      <c r="D586" s="218">
        <v>0</v>
      </c>
      <c r="E586" s="218">
        <v>0</v>
      </c>
      <c r="F586" s="217" t="str">
        <f t="shared" si="9"/>
        <v>-</v>
      </c>
      <c r="G586" s="13"/>
    </row>
    <row r="587" spans="1:7" ht="14.1" customHeight="1" x14ac:dyDescent="0.25">
      <c r="A587" s="214">
        <v>5455</v>
      </c>
      <c r="B587" s="215" t="s">
        <v>3376</v>
      </c>
      <c r="C587" s="321">
        <v>574</v>
      </c>
      <c r="D587" s="218">
        <v>0</v>
      </c>
      <c r="E587" s="218">
        <v>0</v>
      </c>
      <c r="F587" s="217" t="str">
        <f t="shared" si="9"/>
        <v>-</v>
      </c>
      <c r="G587" s="13"/>
    </row>
    <row r="588" spans="1:7" ht="14.1" customHeight="1" x14ac:dyDescent="0.25">
      <c r="A588" s="214">
        <v>5456</v>
      </c>
      <c r="B588" s="215" t="s">
        <v>3377</v>
      </c>
      <c r="C588" s="321">
        <v>575</v>
      </c>
      <c r="D588" s="218">
        <v>0</v>
      </c>
      <c r="E588" s="218">
        <v>0</v>
      </c>
      <c r="F588" s="217" t="str">
        <f t="shared" si="9"/>
        <v>-</v>
      </c>
      <c r="G588" s="13"/>
    </row>
    <row r="589" spans="1:7" ht="14.1" customHeight="1" x14ac:dyDescent="0.25">
      <c r="A589" s="214">
        <v>547</v>
      </c>
      <c r="B589" s="215" t="s">
        <v>3378</v>
      </c>
      <c r="C589" s="321">
        <v>576</v>
      </c>
      <c r="D589" s="216">
        <f>SUM(D590:D596)</f>
        <v>0</v>
      </c>
      <c r="E589" s="216">
        <f>SUM(E590:E596)</f>
        <v>0</v>
      </c>
      <c r="F589" s="217" t="str">
        <f t="shared" si="9"/>
        <v>-</v>
      </c>
      <c r="G589" s="13"/>
    </row>
    <row r="590" spans="1:7" ht="14.1" customHeight="1" x14ac:dyDescent="0.25">
      <c r="A590" s="214">
        <v>5471</v>
      </c>
      <c r="B590" s="215" t="s">
        <v>3379</v>
      </c>
      <c r="C590" s="321">
        <v>577</v>
      </c>
      <c r="D590" s="218">
        <v>0</v>
      </c>
      <c r="E590" s="218">
        <v>0</v>
      </c>
      <c r="F590" s="217" t="str">
        <f t="shared" si="9"/>
        <v>-</v>
      </c>
      <c r="G590" s="13"/>
    </row>
    <row r="591" spans="1:7" ht="14.1" customHeight="1" x14ac:dyDescent="0.25">
      <c r="A591" s="214">
        <v>5472</v>
      </c>
      <c r="B591" s="215" t="s">
        <v>3380</v>
      </c>
      <c r="C591" s="321">
        <v>578</v>
      </c>
      <c r="D591" s="218">
        <v>0</v>
      </c>
      <c r="E591" s="218">
        <v>0</v>
      </c>
      <c r="F591" s="217" t="str">
        <f t="shared" si="9"/>
        <v>-</v>
      </c>
      <c r="G591" s="13"/>
    </row>
    <row r="592" spans="1:7" ht="14.1" customHeight="1" x14ac:dyDescent="0.25">
      <c r="A592" s="214">
        <v>5473</v>
      </c>
      <c r="B592" s="215" t="s">
        <v>3381</v>
      </c>
      <c r="C592" s="321">
        <v>579</v>
      </c>
      <c r="D592" s="218">
        <v>0</v>
      </c>
      <c r="E592" s="218">
        <v>0</v>
      </c>
      <c r="F592" s="217" t="str">
        <f t="shared" si="9"/>
        <v>-</v>
      </c>
      <c r="G592" s="13"/>
    </row>
    <row r="593" spans="1:7" ht="14.1" customHeight="1" x14ac:dyDescent="0.25">
      <c r="A593" s="214">
        <v>5474</v>
      </c>
      <c r="B593" s="215" t="s">
        <v>142</v>
      </c>
      <c r="C593" s="321">
        <v>580</v>
      </c>
      <c r="D593" s="218">
        <v>0</v>
      </c>
      <c r="E593" s="218">
        <v>0</v>
      </c>
      <c r="F593" s="217" t="str">
        <f t="shared" si="9"/>
        <v>-</v>
      </c>
      <c r="G593" s="13"/>
    </row>
    <row r="594" spans="1:7" ht="14.1" customHeight="1" x14ac:dyDescent="0.25">
      <c r="A594" s="214">
        <v>5475</v>
      </c>
      <c r="B594" s="215" t="s">
        <v>143</v>
      </c>
      <c r="C594" s="321">
        <v>581</v>
      </c>
      <c r="D594" s="218">
        <v>0</v>
      </c>
      <c r="E594" s="218">
        <v>0</v>
      </c>
      <c r="F594" s="217" t="str">
        <f t="shared" si="9"/>
        <v>-</v>
      </c>
      <c r="G594" s="13"/>
    </row>
    <row r="595" spans="1:7" ht="14.1" customHeight="1" x14ac:dyDescent="0.25">
      <c r="A595" s="214">
        <v>5476</v>
      </c>
      <c r="B595" s="219" t="s">
        <v>144</v>
      </c>
      <c r="C595" s="321">
        <v>582</v>
      </c>
      <c r="D595" s="218">
        <v>0</v>
      </c>
      <c r="E595" s="218">
        <v>0</v>
      </c>
      <c r="F595" s="217" t="str">
        <f t="shared" si="9"/>
        <v>-</v>
      </c>
      <c r="G595" s="13"/>
    </row>
    <row r="596" spans="1:7" ht="24.9" customHeight="1" x14ac:dyDescent="0.25">
      <c r="A596" s="214">
        <v>5477</v>
      </c>
      <c r="B596" s="215" t="s">
        <v>3010</v>
      </c>
      <c r="C596" s="321">
        <v>583</v>
      </c>
      <c r="D596" s="218">
        <v>0</v>
      </c>
      <c r="E596" s="218">
        <v>0</v>
      </c>
      <c r="F596" s="217" t="str">
        <f t="shared" si="9"/>
        <v>-</v>
      </c>
      <c r="G596" s="13"/>
    </row>
    <row r="597" spans="1:7" ht="14.1" customHeight="1" x14ac:dyDescent="0.25">
      <c r="A597" s="214">
        <v>55</v>
      </c>
      <c r="B597" s="215" t="s">
        <v>3011</v>
      </c>
      <c r="C597" s="321">
        <v>584</v>
      </c>
      <c r="D597" s="216">
        <f>D598+D601+D604</f>
        <v>0</v>
      </c>
      <c r="E597" s="216">
        <f>E598+E601+E604</f>
        <v>0</v>
      </c>
      <c r="F597" s="217" t="str">
        <f t="shared" si="9"/>
        <v>-</v>
      </c>
      <c r="G597" s="13"/>
    </row>
    <row r="598" spans="1:7" ht="14.1" customHeight="1" x14ac:dyDescent="0.25">
      <c r="A598" s="214">
        <v>551</v>
      </c>
      <c r="B598" s="215" t="s">
        <v>3012</v>
      </c>
      <c r="C598" s="321">
        <v>585</v>
      </c>
      <c r="D598" s="216">
        <f>SUM(D599:D600)</f>
        <v>0</v>
      </c>
      <c r="E598" s="216">
        <f>SUM(E599:E600)</f>
        <v>0</v>
      </c>
      <c r="F598" s="217" t="str">
        <f t="shared" si="9"/>
        <v>-</v>
      </c>
      <c r="G598" s="13"/>
    </row>
    <row r="599" spans="1:7" ht="14.1" customHeight="1" x14ac:dyDescent="0.25">
      <c r="A599" s="214">
        <v>5511</v>
      </c>
      <c r="B599" s="215" t="s">
        <v>1787</v>
      </c>
      <c r="C599" s="321">
        <v>586</v>
      </c>
      <c r="D599" s="218">
        <v>0</v>
      </c>
      <c r="E599" s="218">
        <v>0</v>
      </c>
      <c r="F599" s="217" t="str">
        <f t="shared" si="9"/>
        <v>-</v>
      </c>
      <c r="G599" s="13"/>
    </row>
    <row r="600" spans="1:7" ht="14.1" customHeight="1" x14ac:dyDescent="0.25">
      <c r="A600" s="214">
        <v>5512</v>
      </c>
      <c r="B600" s="215" t="s">
        <v>512</v>
      </c>
      <c r="C600" s="321">
        <v>587</v>
      </c>
      <c r="D600" s="218">
        <v>0</v>
      </c>
      <c r="E600" s="218">
        <v>0</v>
      </c>
      <c r="F600" s="217" t="str">
        <f t="shared" si="9"/>
        <v>-</v>
      </c>
      <c r="G600" s="13"/>
    </row>
    <row r="601" spans="1:7" ht="14.1" customHeight="1" x14ac:dyDescent="0.25">
      <c r="A601" s="214">
        <v>552</v>
      </c>
      <c r="B601" s="215" t="s">
        <v>3013</v>
      </c>
      <c r="C601" s="321">
        <v>588</v>
      </c>
      <c r="D601" s="216">
        <f>SUM(D602:D603)</f>
        <v>0</v>
      </c>
      <c r="E601" s="216">
        <f>SUM(E602:E603)</f>
        <v>0</v>
      </c>
      <c r="F601" s="217" t="str">
        <f t="shared" si="9"/>
        <v>-</v>
      </c>
      <c r="G601" s="13"/>
    </row>
    <row r="602" spans="1:7" ht="14.1" customHeight="1" x14ac:dyDescent="0.25">
      <c r="A602" s="214">
        <v>5521</v>
      </c>
      <c r="B602" s="215" t="s">
        <v>513</v>
      </c>
      <c r="C602" s="321">
        <v>589</v>
      </c>
      <c r="D602" s="218">
        <v>0</v>
      </c>
      <c r="E602" s="218">
        <v>0</v>
      </c>
      <c r="F602" s="217" t="str">
        <f t="shared" si="9"/>
        <v>-</v>
      </c>
      <c r="G602" s="13"/>
    </row>
    <row r="603" spans="1:7" ht="14.1" customHeight="1" x14ac:dyDescent="0.25">
      <c r="A603" s="214">
        <v>5522</v>
      </c>
      <c r="B603" s="215" t="s">
        <v>1565</v>
      </c>
      <c r="C603" s="321">
        <v>590</v>
      </c>
      <c r="D603" s="218">
        <v>0</v>
      </c>
      <c r="E603" s="218">
        <v>0</v>
      </c>
      <c r="F603" s="217" t="str">
        <f t="shared" si="9"/>
        <v>-</v>
      </c>
      <c r="G603" s="13"/>
    </row>
    <row r="604" spans="1:7" ht="14.1" customHeight="1" x14ac:dyDescent="0.25">
      <c r="A604" s="214">
        <v>553</v>
      </c>
      <c r="B604" s="215" t="s">
        <v>3014</v>
      </c>
      <c r="C604" s="321">
        <v>591</v>
      </c>
      <c r="D604" s="216">
        <f>SUM(D605:D606)</f>
        <v>0</v>
      </c>
      <c r="E604" s="216">
        <f>SUM(E605:E606)</f>
        <v>0</v>
      </c>
      <c r="F604" s="217" t="str">
        <f t="shared" si="9"/>
        <v>-</v>
      </c>
      <c r="G604" s="13"/>
    </row>
    <row r="605" spans="1:7" ht="14.1" customHeight="1" x14ac:dyDescent="0.25">
      <c r="A605" s="214">
        <v>5531</v>
      </c>
      <c r="B605" s="219" t="s">
        <v>1566</v>
      </c>
      <c r="C605" s="321">
        <v>592</v>
      </c>
      <c r="D605" s="218">
        <v>0</v>
      </c>
      <c r="E605" s="218">
        <v>0</v>
      </c>
      <c r="F605" s="217" t="str">
        <f t="shared" si="9"/>
        <v>-</v>
      </c>
      <c r="G605" s="13"/>
    </row>
    <row r="606" spans="1:7" ht="14.1" customHeight="1" x14ac:dyDescent="0.25">
      <c r="A606" s="214">
        <v>5532</v>
      </c>
      <c r="B606" s="215" t="s">
        <v>1567</v>
      </c>
      <c r="C606" s="321">
        <v>593</v>
      </c>
      <c r="D606" s="218">
        <v>0</v>
      </c>
      <c r="E606" s="218">
        <v>0</v>
      </c>
      <c r="F606" s="217" t="str">
        <f t="shared" si="9"/>
        <v>-</v>
      </c>
      <c r="G606" s="13"/>
    </row>
    <row r="607" spans="1:7" ht="14.1" customHeight="1" x14ac:dyDescent="0.25">
      <c r="A607" s="214" t="s">
        <v>4492</v>
      </c>
      <c r="B607" s="215" t="s">
        <v>3015</v>
      </c>
      <c r="C607" s="321">
        <v>594</v>
      </c>
      <c r="D607" s="216">
        <f>IF(D397&gt;=D503,D397-D503,0)</f>
        <v>0</v>
      </c>
      <c r="E607" s="216">
        <f>IF(E397&gt;=E503,E397-E503,0)</f>
        <v>0</v>
      </c>
      <c r="F607" s="217" t="str">
        <f t="shared" si="9"/>
        <v>-</v>
      </c>
      <c r="G607" s="13"/>
    </row>
    <row r="608" spans="1:7" ht="14.1" customHeight="1" x14ac:dyDescent="0.25">
      <c r="A608" s="214" t="s">
        <v>4492</v>
      </c>
      <c r="B608" s="215" t="s">
        <v>3016</v>
      </c>
      <c r="C608" s="321">
        <v>595</v>
      </c>
      <c r="D608" s="216">
        <f>IF(D503&gt;=D397,D503-D397,0)</f>
        <v>0</v>
      </c>
      <c r="E608" s="216">
        <f>IF(E503&gt;=E397,E503-E397,0)</f>
        <v>0</v>
      </c>
      <c r="F608" s="217" t="str">
        <f t="shared" si="9"/>
        <v>-</v>
      </c>
      <c r="G608" s="13"/>
    </row>
    <row r="609" spans="1:7" ht="14.1" customHeight="1" x14ac:dyDescent="0.25">
      <c r="A609" s="214">
        <v>92213</v>
      </c>
      <c r="B609" s="215" t="s">
        <v>3988</v>
      </c>
      <c r="C609" s="321">
        <v>596</v>
      </c>
      <c r="D609" s="218">
        <v>0</v>
      </c>
      <c r="E609" s="218">
        <v>0</v>
      </c>
      <c r="F609" s="217" t="str">
        <f t="shared" si="9"/>
        <v>-</v>
      </c>
      <c r="G609" s="13"/>
    </row>
    <row r="610" spans="1:7" ht="14.1" customHeight="1" x14ac:dyDescent="0.25">
      <c r="A610" s="214">
        <v>92223</v>
      </c>
      <c r="B610" s="215" t="s">
        <v>3990</v>
      </c>
      <c r="C610" s="321">
        <v>597</v>
      </c>
      <c r="D610" s="218">
        <v>65900</v>
      </c>
      <c r="E610" s="218">
        <v>65900</v>
      </c>
      <c r="F610" s="217">
        <f t="shared" si="9"/>
        <v>100</v>
      </c>
      <c r="G610" s="13"/>
    </row>
    <row r="611" spans="1:7" ht="14.1" customHeight="1" x14ac:dyDescent="0.25">
      <c r="A611" s="214" t="s">
        <v>4492</v>
      </c>
      <c r="B611" s="215" t="s">
        <v>3017</v>
      </c>
      <c r="C611" s="321">
        <v>598</v>
      </c>
      <c r="D611" s="216">
        <f>D389+D397</f>
        <v>3117130</v>
      </c>
      <c r="E611" s="216">
        <f>E389+E397</f>
        <v>3203693</v>
      </c>
      <c r="F611" s="217">
        <f t="shared" si="9"/>
        <v>102.77700962102961</v>
      </c>
      <c r="G611" s="13"/>
    </row>
    <row r="612" spans="1:7" ht="14.1" customHeight="1" x14ac:dyDescent="0.25">
      <c r="A612" s="214" t="s">
        <v>4492</v>
      </c>
      <c r="B612" s="215" t="s">
        <v>3018</v>
      </c>
      <c r="C612" s="321">
        <v>599</v>
      </c>
      <c r="D612" s="216">
        <f>D390+D503</f>
        <v>2989421</v>
      </c>
      <c r="E612" s="216">
        <f>E390+E503</f>
        <v>3329441</v>
      </c>
      <c r="F612" s="217">
        <f t="shared" si="9"/>
        <v>111.37410889934873</v>
      </c>
      <c r="G612" s="13"/>
    </row>
    <row r="613" spans="1:7" ht="14.1" customHeight="1" x14ac:dyDescent="0.25">
      <c r="A613" s="214" t="s">
        <v>4492</v>
      </c>
      <c r="B613" s="215" t="s">
        <v>3019</v>
      </c>
      <c r="C613" s="321">
        <v>600</v>
      </c>
      <c r="D613" s="216">
        <f>IF(D611&gt;=D612,D611-D612,0)</f>
        <v>127709</v>
      </c>
      <c r="E613" s="216">
        <f>IF(E611&gt;=E612,E611-E612,0)</f>
        <v>0</v>
      </c>
      <c r="F613" s="217">
        <f t="shared" si="9"/>
        <v>0</v>
      </c>
      <c r="G613" s="13"/>
    </row>
    <row r="614" spans="1:7" ht="14.1" customHeight="1" x14ac:dyDescent="0.25">
      <c r="A614" s="214" t="s">
        <v>4492</v>
      </c>
      <c r="B614" s="215" t="s">
        <v>3020</v>
      </c>
      <c r="C614" s="321">
        <v>601</v>
      </c>
      <c r="D614" s="216">
        <f>IF(D612&gt;=D611,D612-D611,0)</f>
        <v>0</v>
      </c>
      <c r="E614" s="216">
        <f>IF(E612&gt;=E611,E612-E611,0)</f>
        <v>125748</v>
      </c>
      <c r="F614" s="217" t="str">
        <f t="shared" si="9"/>
        <v>-</v>
      </c>
      <c r="G614" s="13"/>
    </row>
    <row r="615" spans="1:7" ht="14.1" customHeight="1" x14ac:dyDescent="0.25">
      <c r="A615" s="225" t="s">
        <v>3646</v>
      </c>
      <c r="B615" s="215" t="s">
        <v>3021</v>
      </c>
      <c r="C615" s="321">
        <v>602</v>
      </c>
      <c r="D615" s="216">
        <f>IF(D393-D394+D609-D610&gt;=0,D393-D394+D609-D610,0)</f>
        <v>102309</v>
      </c>
      <c r="E615" s="216">
        <f>IF(E393-E394+E609-E610&gt;=0,E393-E394+E609-E610,0)</f>
        <v>230016</v>
      </c>
      <c r="F615" s="217">
        <f t="shared" si="9"/>
        <v>224.82479547253908</v>
      </c>
      <c r="G615" s="13"/>
    </row>
    <row r="616" spans="1:7" ht="14.1" customHeight="1" x14ac:dyDescent="0.25">
      <c r="A616" s="225" t="s">
        <v>3647</v>
      </c>
      <c r="B616" s="215" t="s">
        <v>3022</v>
      </c>
      <c r="C616" s="321">
        <v>603</v>
      </c>
      <c r="D616" s="216">
        <f>IF(D394-D393+D610-D609&gt;=0,D394-D393+D610-D609,0)</f>
        <v>0</v>
      </c>
      <c r="E616" s="216">
        <f>IF(E394-E393+E610-E609&gt;=0,E394-E393+E610-E609,0)</f>
        <v>0</v>
      </c>
      <c r="F616" s="217" t="str">
        <f t="shared" si="9"/>
        <v>-</v>
      </c>
      <c r="G616" s="13"/>
    </row>
    <row r="617" spans="1:7" ht="14.1" customHeight="1" x14ac:dyDescent="0.25">
      <c r="A617" s="214" t="s">
        <v>4492</v>
      </c>
      <c r="B617" s="215" t="s">
        <v>4272</v>
      </c>
      <c r="C617" s="321">
        <v>604</v>
      </c>
      <c r="D617" s="216">
        <f>IF(D613+D615-D614-D616&gt;=0,D613+D615-D614-D616,0)</f>
        <v>230018</v>
      </c>
      <c r="E617" s="216">
        <f>IF(E613+E615-E614-E616&gt;=0,E613+E615-E614-E616,0)</f>
        <v>104268</v>
      </c>
      <c r="F617" s="217">
        <f t="shared" si="9"/>
        <v>45.330365449660462</v>
      </c>
      <c r="G617" s="13"/>
    </row>
    <row r="618" spans="1:7" ht="14.1" customHeight="1" x14ac:dyDescent="0.25">
      <c r="A618" s="214" t="s">
        <v>4492</v>
      </c>
      <c r="B618" s="215" t="s">
        <v>4273</v>
      </c>
      <c r="C618" s="321">
        <v>605</v>
      </c>
      <c r="D618" s="216">
        <f>IF(D614+D616-D613-D615&gt;=0,D614+D616-D613-D615,0)</f>
        <v>0</v>
      </c>
      <c r="E618" s="216">
        <f>IF(E614+E616-E613-E615&gt;=0,E614+E616-E613-E615,0)</f>
        <v>0</v>
      </c>
      <c r="F618" s="217" t="str">
        <f t="shared" si="9"/>
        <v>-</v>
      </c>
      <c r="G618" s="13"/>
    </row>
    <row r="619" spans="1:7" ht="14.1" customHeight="1" x14ac:dyDescent="0.25">
      <c r="A619" s="220">
        <v>191</v>
      </c>
      <c r="B619" s="221" t="s">
        <v>3649</v>
      </c>
      <c r="C619" s="322">
        <v>606</v>
      </c>
      <c r="D619" s="222">
        <v>0</v>
      </c>
      <c r="E619" s="222">
        <v>0</v>
      </c>
      <c r="F619" s="223" t="str">
        <f t="shared" si="9"/>
        <v>-</v>
      </c>
      <c r="G619" s="13"/>
    </row>
    <row r="620" spans="1:7" s="24" customFormat="1" ht="20.100000000000001" customHeight="1" x14ac:dyDescent="0.25">
      <c r="A620" s="535" t="s">
        <v>4274</v>
      </c>
      <c r="B620" s="533"/>
      <c r="C620" s="533"/>
      <c r="D620" s="533"/>
      <c r="E620" s="533"/>
      <c r="F620" s="536"/>
    </row>
    <row r="621" spans="1:7" ht="14.1" customHeight="1" x14ac:dyDescent="0.25">
      <c r="A621" s="210">
        <v>11</v>
      </c>
      <c r="B621" s="211" t="s">
        <v>4275</v>
      </c>
      <c r="C621" s="320">
        <v>607</v>
      </c>
      <c r="D621" s="226">
        <v>443931</v>
      </c>
      <c r="E621" s="226">
        <v>156053</v>
      </c>
      <c r="F621" s="213">
        <f t="shared" si="9"/>
        <v>35.152534966019495</v>
      </c>
      <c r="G621" s="13"/>
    </row>
    <row r="622" spans="1:7" ht="14.1" customHeight="1" x14ac:dyDescent="0.25">
      <c r="A622" s="214" t="s">
        <v>4152</v>
      </c>
      <c r="B622" s="215" t="s">
        <v>3656</v>
      </c>
      <c r="C622" s="321">
        <v>608</v>
      </c>
      <c r="D622" s="218">
        <v>1165961</v>
      </c>
      <c r="E622" s="218">
        <v>1229200</v>
      </c>
      <c r="F622" s="217">
        <f t="shared" si="9"/>
        <v>105.42376631808439</v>
      </c>
      <c r="G622" s="13"/>
    </row>
    <row r="623" spans="1:7" ht="14.1" customHeight="1" x14ac:dyDescent="0.25">
      <c r="A623" s="214" t="s">
        <v>4151</v>
      </c>
      <c r="B623" s="215" t="s">
        <v>3657</v>
      </c>
      <c r="C623" s="321">
        <v>609</v>
      </c>
      <c r="D623" s="218">
        <v>1133772</v>
      </c>
      <c r="E623" s="218">
        <v>947466</v>
      </c>
      <c r="F623" s="217">
        <f t="shared" si="9"/>
        <v>83.567595601231986</v>
      </c>
      <c r="G623" s="13"/>
    </row>
    <row r="624" spans="1:7" ht="14.1" customHeight="1" x14ac:dyDescent="0.25">
      <c r="A624" s="214">
        <v>11</v>
      </c>
      <c r="B624" s="215" t="s">
        <v>4276</v>
      </c>
      <c r="C624" s="321">
        <v>610</v>
      </c>
      <c r="D624" s="216">
        <f>D621+D622-D623</f>
        <v>476120</v>
      </c>
      <c r="E624" s="216">
        <f>E621+E622-E623</f>
        <v>437787</v>
      </c>
      <c r="F624" s="217">
        <f t="shared" si="9"/>
        <v>91.948878434008236</v>
      </c>
      <c r="G624" s="13"/>
    </row>
    <row r="625" spans="1:7" ht="14.1" customHeight="1" x14ac:dyDescent="0.25">
      <c r="A625" s="214" t="s">
        <v>4492</v>
      </c>
      <c r="B625" s="219" t="s">
        <v>1337</v>
      </c>
      <c r="C625" s="321">
        <v>611</v>
      </c>
      <c r="D625" s="218">
        <v>5</v>
      </c>
      <c r="E625" s="218">
        <v>5</v>
      </c>
      <c r="F625" s="217">
        <f t="shared" si="9"/>
        <v>100</v>
      </c>
      <c r="G625" s="13"/>
    </row>
    <row r="626" spans="1:7" ht="14.1" customHeight="1" x14ac:dyDescent="0.25">
      <c r="A626" s="214" t="s">
        <v>4492</v>
      </c>
      <c r="B626" s="219" t="s">
        <v>3305</v>
      </c>
      <c r="C626" s="321">
        <v>612</v>
      </c>
      <c r="D626" s="218">
        <v>0</v>
      </c>
      <c r="E626" s="218">
        <v>0</v>
      </c>
      <c r="F626" s="217" t="str">
        <f t="shared" si="9"/>
        <v>-</v>
      </c>
      <c r="G626" s="13"/>
    </row>
    <row r="627" spans="1:7" ht="14.1" customHeight="1" x14ac:dyDescent="0.25">
      <c r="A627" s="214" t="s">
        <v>4492</v>
      </c>
      <c r="B627" s="215" t="s">
        <v>4277</v>
      </c>
      <c r="C627" s="321">
        <v>613</v>
      </c>
      <c r="D627" s="218">
        <v>5</v>
      </c>
      <c r="E627" s="218">
        <v>4</v>
      </c>
      <c r="F627" s="217">
        <f t="shared" si="9"/>
        <v>80</v>
      </c>
      <c r="G627" s="13"/>
    </row>
    <row r="628" spans="1:7" ht="14.1" customHeight="1" x14ac:dyDescent="0.25">
      <c r="A628" s="214" t="s">
        <v>4492</v>
      </c>
      <c r="B628" s="215" t="s">
        <v>2138</v>
      </c>
      <c r="C628" s="321">
        <v>614</v>
      </c>
      <c r="D628" s="218">
        <v>0</v>
      </c>
      <c r="E628" s="218">
        <v>0</v>
      </c>
      <c r="F628" s="217" t="str">
        <f t="shared" si="9"/>
        <v>-</v>
      </c>
      <c r="G628" s="13"/>
    </row>
    <row r="629" spans="1:7" ht="14.1" customHeight="1" x14ac:dyDescent="0.25">
      <c r="A629" s="214" t="s">
        <v>4278</v>
      </c>
      <c r="B629" s="215" t="s">
        <v>4279</v>
      </c>
      <c r="C629" s="321">
        <v>615</v>
      </c>
      <c r="D629" s="218">
        <v>0</v>
      </c>
      <c r="E629" s="218">
        <v>0</v>
      </c>
      <c r="F629" s="217" t="str">
        <f t="shared" si="9"/>
        <v>-</v>
      </c>
      <c r="G629" s="13"/>
    </row>
    <row r="630" spans="1:7" ht="14.1" customHeight="1" x14ac:dyDescent="0.25">
      <c r="A630" s="214">
        <v>61315</v>
      </c>
      <c r="B630" s="215" t="s">
        <v>2139</v>
      </c>
      <c r="C630" s="321">
        <v>616</v>
      </c>
      <c r="D630" s="218">
        <v>0</v>
      </c>
      <c r="E630" s="218">
        <v>0</v>
      </c>
      <c r="F630" s="217" t="str">
        <f t="shared" si="9"/>
        <v>-</v>
      </c>
      <c r="G630" s="13"/>
    </row>
    <row r="631" spans="1:7" ht="14.1" customHeight="1" x14ac:dyDescent="0.25">
      <c r="A631" s="214">
        <v>61451</v>
      </c>
      <c r="B631" s="215" t="s">
        <v>1340</v>
      </c>
      <c r="C631" s="321">
        <v>617</v>
      </c>
      <c r="D631" s="218">
        <v>0</v>
      </c>
      <c r="E631" s="218">
        <v>0</v>
      </c>
      <c r="F631" s="217" t="str">
        <f t="shared" si="9"/>
        <v>-</v>
      </c>
      <c r="G631" s="13"/>
    </row>
    <row r="632" spans="1:7" ht="14.1" customHeight="1" x14ac:dyDescent="0.25">
      <c r="A632" s="214">
        <v>61453</v>
      </c>
      <c r="B632" s="215" t="s">
        <v>1341</v>
      </c>
      <c r="C632" s="321">
        <v>618</v>
      </c>
      <c r="D632" s="218">
        <v>13600</v>
      </c>
      <c r="E632" s="218">
        <v>11162</v>
      </c>
      <c r="F632" s="217">
        <f t="shared" ref="F632:F695" si="10">IF(D632&gt;0,IF(E632/D632&gt;=100,"&gt;&gt;100",E632/D632*100),"-")</f>
        <v>82.073529411764696</v>
      </c>
      <c r="G632" s="13"/>
    </row>
    <row r="633" spans="1:7" ht="14.1" customHeight="1" x14ac:dyDescent="0.25">
      <c r="A633" s="214">
        <v>63311</v>
      </c>
      <c r="B633" s="215" t="s">
        <v>1342</v>
      </c>
      <c r="C633" s="321">
        <v>619</v>
      </c>
      <c r="D633" s="218">
        <v>177689</v>
      </c>
      <c r="E633" s="218">
        <v>50724</v>
      </c>
      <c r="F633" s="217">
        <f t="shared" si="10"/>
        <v>28.546505411139687</v>
      </c>
      <c r="G633" s="13"/>
    </row>
    <row r="634" spans="1:7" ht="14.1" customHeight="1" x14ac:dyDescent="0.25">
      <c r="A634" s="214">
        <v>63312</v>
      </c>
      <c r="B634" s="215" t="s">
        <v>4280</v>
      </c>
      <c r="C634" s="321">
        <v>620</v>
      </c>
      <c r="D634" s="218">
        <v>109218</v>
      </c>
      <c r="E634" s="218">
        <v>65550</v>
      </c>
      <c r="F634" s="217">
        <f t="shared" si="10"/>
        <v>60.017579519859368</v>
      </c>
      <c r="G634" s="13"/>
    </row>
    <row r="635" spans="1:7" ht="14.1" customHeight="1" x14ac:dyDescent="0.25">
      <c r="A635" s="214">
        <v>63313</v>
      </c>
      <c r="B635" s="215" t="s">
        <v>4281</v>
      </c>
      <c r="C635" s="321">
        <v>621</v>
      </c>
      <c r="D635" s="218">
        <v>0</v>
      </c>
      <c r="E635" s="218">
        <v>0</v>
      </c>
      <c r="F635" s="217" t="str">
        <f t="shared" si="10"/>
        <v>-</v>
      </c>
      <c r="G635" s="13"/>
    </row>
    <row r="636" spans="1:7" ht="14.1" customHeight="1" x14ac:dyDescent="0.25">
      <c r="A636" s="214">
        <v>63314</v>
      </c>
      <c r="B636" s="215" t="s">
        <v>4282</v>
      </c>
      <c r="C636" s="321">
        <v>622</v>
      </c>
      <c r="D636" s="218">
        <v>0</v>
      </c>
      <c r="E636" s="218">
        <v>0</v>
      </c>
      <c r="F636" s="217" t="str">
        <f t="shared" si="10"/>
        <v>-</v>
      </c>
      <c r="G636" s="13"/>
    </row>
    <row r="637" spans="1:7" ht="14.1" customHeight="1" x14ac:dyDescent="0.25">
      <c r="A637" s="214">
        <v>63321</v>
      </c>
      <c r="B637" s="215" t="s">
        <v>1343</v>
      </c>
      <c r="C637" s="321">
        <v>623</v>
      </c>
      <c r="D637" s="218">
        <v>0</v>
      </c>
      <c r="E637" s="218">
        <v>0</v>
      </c>
      <c r="F637" s="217" t="str">
        <f t="shared" si="10"/>
        <v>-</v>
      </c>
      <c r="G637" s="13"/>
    </row>
    <row r="638" spans="1:7" ht="14.1" customHeight="1" x14ac:dyDescent="0.25">
      <c r="A638" s="214">
        <v>63322</v>
      </c>
      <c r="B638" s="215" t="s">
        <v>4283</v>
      </c>
      <c r="C638" s="321">
        <v>624</v>
      </c>
      <c r="D638" s="218">
        <v>297495</v>
      </c>
      <c r="E638" s="218">
        <v>504459</v>
      </c>
      <c r="F638" s="217">
        <f t="shared" si="10"/>
        <v>169.56890031765241</v>
      </c>
      <c r="G638" s="13"/>
    </row>
    <row r="639" spans="1:7" ht="14.1" customHeight="1" x14ac:dyDescent="0.25">
      <c r="A639" s="214">
        <v>63323</v>
      </c>
      <c r="B639" s="215" t="s">
        <v>4284</v>
      </c>
      <c r="C639" s="321">
        <v>625</v>
      </c>
      <c r="D639" s="218">
        <v>0</v>
      </c>
      <c r="E639" s="218">
        <v>0</v>
      </c>
      <c r="F639" s="217" t="str">
        <f t="shared" si="10"/>
        <v>-</v>
      </c>
      <c r="G639" s="13"/>
    </row>
    <row r="640" spans="1:7" ht="14.1" customHeight="1" x14ac:dyDescent="0.25">
      <c r="A640" s="214">
        <v>63324</v>
      </c>
      <c r="B640" s="215" t="s">
        <v>4285</v>
      </c>
      <c r="C640" s="321">
        <v>626</v>
      </c>
      <c r="D640" s="218">
        <v>0</v>
      </c>
      <c r="E640" s="218">
        <v>0</v>
      </c>
      <c r="F640" s="217" t="str">
        <f t="shared" si="10"/>
        <v>-</v>
      </c>
      <c r="G640" s="13"/>
    </row>
    <row r="641" spans="1:7" ht="14.1" customHeight="1" x14ac:dyDescent="0.25">
      <c r="A641" s="214">
        <v>63331</v>
      </c>
      <c r="B641" s="219" t="s">
        <v>4286</v>
      </c>
      <c r="C641" s="321">
        <v>627</v>
      </c>
      <c r="D641" s="218">
        <v>0</v>
      </c>
      <c r="E641" s="218">
        <v>0</v>
      </c>
      <c r="F641" s="217" t="str">
        <f t="shared" si="10"/>
        <v>-</v>
      </c>
      <c r="G641" s="13"/>
    </row>
    <row r="642" spans="1:7" ht="24.9" customHeight="1" x14ac:dyDescent="0.25">
      <c r="A642" s="214">
        <v>63332</v>
      </c>
      <c r="B642" s="215" t="s">
        <v>2065</v>
      </c>
      <c r="C642" s="321">
        <v>628</v>
      </c>
      <c r="D642" s="218">
        <v>0</v>
      </c>
      <c r="E642" s="218">
        <v>0</v>
      </c>
      <c r="F642" s="217" t="str">
        <f t="shared" si="10"/>
        <v>-</v>
      </c>
      <c r="G642" s="13"/>
    </row>
    <row r="643" spans="1:7" ht="14.1" customHeight="1" x14ac:dyDescent="0.25">
      <c r="A643" s="214">
        <v>63341</v>
      </c>
      <c r="B643" s="219" t="s">
        <v>2066</v>
      </c>
      <c r="C643" s="321">
        <v>629</v>
      </c>
      <c r="D643" s="218">
        <v>0</v>
      </c>
      <c r="E643" s="218">
        <v>0</v>
      </c>
      <c r="F643" s="217" t="str">
        <f t="shared" si="10"/>
        <v>-</v>
      </c>
      <c r="G643" s="13"/>
    </row>
    <row r="644" spans="1:7" ht="24.9" customHeight="1" x14ac:dyDescent="0.25">
      <c r="A644" s="214">
        <v>63342</v>
      </c>
      <c r="B644" s="215" t="s">
        <v>2067</v>
      </c>
      <c r="C644" s="321">
        <v>630</v>
      </c>
      <c r="D644" s="218">
        <v>0</v>
      </c>
      <c r="E644" s="218">
        <v>0</v>
      </c>
      <c r="F644" s="217" t="str">
        <f t="shared" si="10"/>
        <v>-</v>
      </c>
      <c r="G644" s="13"/>
    </row>
    <row r="645" spans="1:7" ht="14.1" customHeight="1" x14ac:dyDescent="0.25">
      <c r="A645" s="214">
        <v>63414</v>
      </c>
      <c r="B645" s="215" t="s">
        <v>2068</v>
      </c>
      <c r="C645" s="321">
        <v>631</v>
      </c>
      <c r="D645" s="218">
        <v>0</v>
      </c>
      <c r="E645" s="218">
        <v>0</v>
      </c>
      <c r="F645" s="217" t="str">
        <f t="shared" si="10"/>
        <v>-</v>
      </c>
      <c r="G645" s="13"/>
    </row>
    <row r="646" spans="1:7" ht="14.1" customHeight="1" x14ac:dyDescent="0.25">
      <c r="A646" s="214">
        <v>63415</v>
      </c>
      <c r="B646" s="215" t="s">
        <v>2069</v>
      </c>
      <c r="C646" s="321">
        <v>632</v>
      </c>
      <c r="D646" s="218">
        <v>0</v>
      </c>
      <c r="E646" s="218">
        <v>0</v>
      </c>
      <c r="F646" s="217" t="str">
        <f t="shared" si="10"/>
        <v>-</v>
      </c>
      <c r="G646" s="13"/>
    </row>
    <row r="647" spans="1:7" ht="14.1" customHeight="1" x14ac:dyDescent="0.25">
      <c r="A647" s="214">
        <v>63416</v>
      </c>
      <c r="B647" s="219" t="s">
        <v>2070</v>
      </c>
      <c r="C647" s="321">
        <v>633</v>
      </c>
      <c r="D647" s="218">
        <v>0</v>
      </c>
      <c r="E647" s="218">
        <v>0</v>
      </c>
      <c r="F647" s="217" t="str">
        <f t="shared" si="10"/>
        <v>-</v>
      </c>
      <c r="G647" s="13"/>
    </row>
    <row r="648" spans="1:7" ht="14.1" customHeight="1" x14ac:dyDescent="0.25">
      <c r="A648" s="214">
        <v>63424</v>
      </c>
      <c r="B648" s="215" t="s">
        <v>2071</v>
      </c>
      <c r="C648" s="321">
        <v>634</v>
      </c>
      <c r="D648" s="218">
        <v>0</v>
      </c>
      <c r="E648" s="218">
        <v>0</v>
      </c>
      <c r="F648" s="217" t="str">
        <f t="shared" si="10"/>
        <v>-</v>
      </c>
      <c r="G648" s="13"/>
    </row>
    <row r="649" spans="1:7" ht="14.1" customHeight="1" x14ac:dyDescent="0.25">
      <c r="A649" s="214">
        <v>63425</v>
      </c>
      <c r="B649" s="215" t="s">
        <v>2072</v>
      </c>
      <c r="C649" s="321">
        <v>635</v>
      </c>
      <c r="D649" s="218">
        <v>0</v>
      </c>
      <c r="E649" s="218">
        <v>0</v>
      </c>
      <c r="F649" s="217" t="str">
        <f t="shared" si="10"/>
        <v>-</v>
      </c>
      <c r="G649" s="13"/>
    </row>
    <row r="650" spans="1:7" ht="14.1" customHeight="1" x14ac:dyDescent="0.25">
      <c r="A650" s="214">
        <v>63426</v>
      </c>
      <c r="B650" s="219" t="s">
        <v>2073</v>
      </c>
      <c r="C650" s="321">
        <v>636</v>
      </c>
      <c r="D650" s="218">
        <v>0</v>
      </c>
      <c r="E650" s="218">
        <v>0</v>
      </c>
      <c r="F650" s="217" t="str">
        <f t="shared" si="10"/>
        <v>-</v>
      </c>
      <c r="G650" s="13"/>
    </row>
    <row r="651" spans="1:7" ht="14.1" customHeight="1" x14ac:dyDescent="0.25">
      <c r="A651" s="214">
        <v>64191</v>
      </c>
      <c r="B651" s="215" t="s">
        <v>2074</v>
      </c>
      <c r="C651" s="321">
        <v>637</v>
      </c>
      <c r="D651" s="218">
        <v>0</v>
      </c>
      <c r="E651" s="218">
        <v>0</v>
      </c>
      <c r="F651" s="217" t="str">
        <f t="shared" si="10"/>
        <v>-</v>
      </c>
      <c r="G651" s="13"/>
    </row>
    <row r="652" spans="1:7" ht="14.1" customHeight="1" x14ac:dyDescent="0.25">
      <c r="A652" s="214">
        <v>64371</v>
      </c>
      <c r="B652" s="215" t="s">
        <v>2075</v>
      </c>
      <c r="C652" s="321">
        <v>638</v>
      </c>
      <c r="D652" s="218">
        <v>0</v>
      </c>
      <c r="E652" s="218">
        <v>0</v>
      </c>
      <c r="F652" s="217" t="str">
        <f t="shared" si="10"/>
        <v>-</v>
      </c>
      <c r="G652" s="13"/>
    </row>
    <row r="653" spans="1:7" ht="14.1" customHeight="1" x14ac:dyDescent="0.25">
      <c r="A653" s="214">
        <v>64372</v>
      </c>
      <c r="B653" s="215" t="s">
        <v>2076</v>
      </c>
      <c r="C653" s="321">
        <v>639</v>
      </c>
      <c r="D653" s="218">
        <v>0</v>
      </c>
      <c r="E653" s="218">
        <v>0</v>
      </c>
      <c r="F653" s="217" t="str">
        <f t="shared" si="10"/>
        <v>-</v>
      </c>
      <c r="G653" s="13"/>
    </row>
    <row r="654" spans="1:7" ht="14.1" customHeight="1" x14ac:dyDescent="0.25">
      <c r="A654" s="214">
        <v>64373</v>
      </c>
      <c r="B654" s="215" t="s">
        <v>2077</v>
      </c>
      <c r="C654" s="321">
        <v>640</v>
      </c>
      <c r="D654" s="218">
        <v>0</v>
      </c>
      <c r="E654" s="218">
        <v>0</v>
      </c>
      <c r="F654" s="217" t="str">
        <f t="shared" si="10"/>
        <v>-</v>
      </c>
      <c r="G654" s="13"/>
    </row>
    <row r="655" spans="1:7" ht="14.1" customHeight="1" x14ac:dyDescent="0.25">
      <c r="A655" s="214">
        <v>64374</v>
      </c>
      <c r="B655" s="215" t="s">
        <v>2078</v>
      </c>
      <c r="C655" s="321">
        <v>641</v>
      </c>
      <c r="D655" s="218">
        <v>0</v>
      </c>
      <c r="E655" s="218">
        <v>0</v>
      </c>
      <c r="F655" s="217" t="str">
        <f t="shared" si="10"/>
        <v>-</v>
      </c>
      <c r="G655" s="13"/>
    </row>
    <row r="656" spans="1:7" ht="14.1" customHeight="1" x14ac:dyDescent="0.25">
      <c r="A656" s="214">
        <v>64375</v>
      </c>
      <c r="B656" s="215" t="s">
        <v>2085</v>
      </c>
      <c r="C656" s="321">
        <v>642</v>
      </c>
      <c r="D656" s="218">
        <v>0</v>
      </c>
      <c r="E656" s="218">
        <v>0</v>
      </c>
      <c r="F656" s="217" t="str">
        <f t="shared" si="10"/>
        <v>-</v>
      </c>
      <c r="G656" s="13"/>
    </row>
    <row r="657" spans="1:7" ht="14.1" customHeight="1" x14ac:dyDescent="0.25">
      <c r="A657" s="214">
        <v>64376</v>
      </c>
      <c r="B657" s="219" t="s">
        <v>2086</v>
      </c>
      <c r="C657" s="321">
        <v>643</v>
      </c>
      <c r="D657" s="218">
        <v>0</v>
      </c>
      <c r="E657" s="218">
        <v>0</v>
      </c>
      <c r="F657" s="217" t="str">
        <f t="shared" si="10"/>
        <v>-</v>
      </c>
      <c r="G657" s="13"/>
    </row>
    <row r="658" spans="1:7" ht="24.9" customHeight="1" x14ac:dyDescent="0.25">
      <c r="A658" s="214">
        <v>64377</v>
      </c>
      <c r="B658" s="215" t="s">
        <v>2087</v>
      </c>
      <c r="C658" s="321">
        <v>644</v>
      </c>
      <c r="D658" s="218">
        <v>0</v>
      </c>
      <c r="E658" s="218">
        <v>0</v>
      </c>
      <c r="F658" s="217" t="str">
        <f t="shared" si="10"/>
        <v>-</v>
      </c>
      <c r="G658" s="13"/>
    </row>
    <row r="659" spans="1:7" ht="14.1" customHeight="1" x14ac:dyDescent="0.25">
      <c r="A659" s="214">
        <v>65264</v>
      </c>
      <c r="B659" s="215" t="s">
        <v>363</v>
      </c>
      <c r="C659" s="321">
        <v>645</v>
      </c>
      <c r="D659" s="218">
        <v>0</v>
      </c>
      <c r="E659" s="218">
        <v>0</v>
      </c>
      <c r="F659" s="217" t="str">
        <f t="shared" si="10"/>
        <v>-</v>
      </c>
      <c r="G659" s="13"/>
    </row>
    <row r="660" spans="1:7" ht="14.1" customHeight="1" x14ac:dyDescent="0.25">
      <c r="A660" s="227">
        <v>65265</v>
      </c>
      <c r="B660" s="228" t="s">
        <v>1344</v>
      </c>
      <c r="C660" s="323">
        <v>646</v>
      </c>
      <c r="D660" s="229">
        <v>0</v>
      </c>
      <c r="E660" s="229">
        <v>0</v>
      </c>
      <c r="F660" s="230" t="str">
        <f t="shared" si="10"/>
        <v>-</v>
      </c>
      <c r="G660" s="13"/>
    </row>
    <row r="661" spans="1:7" ht="14.1" customHeight="1" x14ac:dyDescent="0.25">
      <c r="A661" s="235"/>
      <c r="B661" s="236" t="s">
        <v>364</v>
      </c>
      <c r="C661" s="324">
        <v>647</v>
      </c>
      <c r="D661" s="237">
        <f>SUM(D621:D660)</f>
        <v>3817796</v>
      </c>
      <c r="E661" s="237">
        <f>SUM(E621:E660)</f>
        <v>3402410</v>
      </c>
      <c r="F661" s="238">
        <f t="shared" si="10"/>
        <v>89.119743433122139</v>
      </c>
      <c r="G661" s="13"/>
    </row>
    <row r="662" spans="1:7" ht="14.1" customHeight="1" x14ac:dyDescent="0.25">
      <c r="A662" s="231">
        <v>31</v>
      </c>
      <c r="B662" s="232" t="s">
        <v>342</v>
      </c>
      <c r="C662" s="325">
        <v>648</v>
      </c>
      <c r="D662" s="233">
        <v>371587</v>
      </c>
      <c r="E662" s="233">
        <v>377062</v>
      </c>
      <c r="F662" s="234">
        <f t="shared" si="10"/>
        <v>101.47340999550576</v>
      </c>
      <c r="G662" s="13"/>
    </row>
    <row r="663" spans="1:7" ht="14.1" customHeight="1" x14ac:dyDescent="0.25">
      <c r="A663" s="214">
        <v>31</v>
      </c>
      <c r="B663" s="215" t="s">
        <v>343</v>
      </c>
      <c r="C663" s="321">
        <v>649</v>
      </c>
      <c r="D663" s="218">
        <v>0</v>
      </c>
      <c r="E663" s="218">
        <v>0</v>
      </c>
      <c r="F663" s="217" t="str">
        <f t="shared" si="10"/>
        <v>-</v>
      </c>
      <c r="G663" s="13"/>
    </row>
    <row r="664" spans="1:7" ht="14.1" customHeight="1" x14ac:dyDescent="0.25">
      <c r="A664" s="214" t="s">
        <v>365</v>
      </c>
      <c r="B664" s="215" t="s">
        <v>344</v>
      </c>
      <c r="C664" s="321">
        <v>650</v>
      </c>
      <c r="D664" s="218">
        <v>244664</v>
      </c>
      <c r="E664" s="218">
        <v>236076</v>
      </c>
      <c r="F664" s="217">
        <f t="shared" si="10"/>
        <v>96.489879998692089</v>
      </c>
      <c r="G664" s="13"/>
    </row>
    <row r="665" spans="1:7" ht="14.1" customHeight="1" x14ac:dyDescent="0.25">
      <c r="A665" s="214" t="s">
        <v>365</v>
      </c>
      <c r="B665" s="215" t="s">
        <v>345</v>
      </c>
      <c r="C665" s="321">
        <v>651</v>
      </c>
      <c r="D665" s="218">
        <v>0</v>
      </c>
      <c r="E665" s="218">
        <v>0</v>
      </c>
      <c r="F665" s="217" t="str">
        <f t="shared" si="10"/>
        <v>-</v>
      </c>
      <c r="G665" s="13"/>
    </row>
    <row r="666" spans="1:7" ht="14.1" customHeight="1" x14ac:dyDescent="0.25">
      <c r="A666" s="214" t="s">
        <v>365</v>
      </c>
      <c r="B666" s="215" t="s">
        <v>346</v>
      </c>
      <c r="C666" s="321">
        <v>652</v>
      </c>
      <c r="D666" s="218">
        <v>10791</v>
      </c>
      <c r="E666" s="218">
        <v>12028</v>
      </c>
      <c r="F666" s="217">
        <f t="shared" si="10"/>
        <v>111.46325641738486</v>
      </c>
      <c r="G666" s="13"/>
    </row>
    <row r="667" spans="1:7" ht="14.1" customHeight="1" x14ac:dyDescent="0.25">
      <c r="A667" s="214" t="s">
        <v>365</v>
      </c>
      <c r="B667" s="215" t="s">
        <v>347</v>
      </c>
      <c r="C667" s="321">
        <v>653</v>
      </c>
      <c r="D667" s="218">
        <v>0</v>
      </c>
      <c r="E667" s="218">
        <v>0</v>
      </c>
      <c r="F667" s="217" t="str">
        <f t="shared" si="10"/>
        <v>-</v>
      </c>
      <c r="G667" s="13"/>
    </row>
    <row r="668" spans="1:7" ht="14.1" customHeight="1" x14ac:dyDescent="0.25">
      <c r="A668" s="214">
        <v>31214</v>
      </c>
      <c r="B668" s="215" t="s">
        <v>348</v>
      </c>
      <c r="C668" s="321">
        <v>654</v>
      </c>
      <c r="D668" s="218">
        <v>0</v>
      </c>
      <c r="E668" s="218">
        <v>0</v>
      </c>
      <c r="F668" s="217" t="str">
        <f t="shared" si="10"/>
        <v>-</v>
      </c>
      <c r="G668" s="13"/>
    </row>
    <row r="669" spans="1:7" ht="14.1" customHeight="1" x14ac:dyDescent="0.25">
      <c r="A669" s="214">
        <v>31215</v>
      </c>
      <c r="B669" s="215" t="s">
        <v>366</v>
      </c>
      <c r="C669" s="321">
        <v>655</v>
      </c>
      <c r="D669" s="218">
        <v>0</v>
      </c>
      <c r="E669" s="218">
        <v>0</v>
      </c>
      <c r="F669" s="217" t="str">
        <f t="shared" si="10"/>
        <v>-</v>
      </c>
      <c r="G669" s="13"/>
    </row>
    <row r="670" spans="1:7" ht="14.1" customHeight="1" x14ac:dyDescent="0.25">
      <c r="A670" s="214">
        <v>32</v>
      </c>
      <c r="B670" s="215" t="s">
        <v>349</v>
      </c>
      <c r="C670" s="321">
        <v>656</v>
      </c>
      <c r="D670" s="218">
        <v>1418062</v>
      </c>
      <c r="E670" s="218">
        <v>946473</v>
      </c>
      <c r="F670" s="217">
        <f t="shared" si="10"/>
        <v>66.744119791659315</v>
      </c>
      <c r="G670" s="13"/>
    </row>
    <row r="671" spans="1:7" ht="14.1" customHeight="1" x14ac:dyDescent="0.25">
      <c r="A671" s="214">
        <v>32</v>
      </c>
      <c r="B671" s="215" t="s">
        <v>350</v>
      </c>
      <c r="C671" s="321">
        <v>657</v>
      </c>
      <c r="D671" s="218">
        <v>0</v>
      </c>
      <c r="E671" s="218">
        <v>0</v>
      </c>
      <c r="F671" s="217" t="str">
        <f t="shared" si="10"/>
        <v>-</v>
      </c>
      <c r="G671" s="13"/>
    </row>
    <row r="672" spans="1:7" ht="14.1" customHeight="1" x14ac:dyDescent="0.25">
      <c r="A672" s="214">
        <v>32121</v>
      </c>
      <c r="B672" s="215" t="s">
        <v>351</v>
      </c>
      <c r="C672" s="321">
        <v>658</v>
      </c>
      <c r="D672" s="218">
        <v>36274</v>
      </c>
      <c r="E672" s="218">
        <v>35927</v>
      </c>
      <c r="F672" s="217">
        <f t="shared" si="10"/>
        <v>99.043391961184327</v>
      </c>
      <c r="G672" s="13"/>
    </row>
    <row r="673" spans="1:7" ht="14.1" customHeight="1" x14ac:dyDescent="0.25">
      <c r="A673" s="214" t="s">
        <v>367</v>
      </c>
      <c r="B673" s="215" t="s">
        <v>368</v>
      </c>
      <c r="C673" s="321">
        <v>659</v>
      </c>
      <c r="D673" s="218">
        <v>0</v>
      </c>
      <c r="E673" s="218">
        <v>0</v>
      </c>
      <c r="F673" s="217" t="str">
        <f t="shared" si="10"/>
        <v>-</v>
      </c>
      <c r="G673" s="13"/>
    </row>
    <row r="674" spans="1:7" ht="14.1" customHeight="1" x14ac:dyDescent="0.25">
      <c r="A674" s="214" t="s">
        <v>352</v>
      </c>
      <c r="B674" s="215" t="s">
        <v>353</v>
      </c>
      <c r="C674" s="321">
        <v>660</v>
      </c>
      <c r="D674" s="218">
        <v>0</v>
      </c>
      <c r="E674" s="218">
        <v>0</v>
      </c>
      <c r="F674" s="217" t="str">
        <f t="shared" si="10"/>
        <v>-</v>
      </c>
      <c r="G674" s="13"/>
    </row>
    <row r="675" spans="1:7" ht="14.1" customHeight="1" x14ac:dyDescent="0.25">
      <c r="A675" s="214" t="s">
        <v>354</v>
      </c>
      <c r="B675" s="215" t="s">
        <v>355</v>
      </c>
      <c r="C675" s="321">
        <v>661</v>
      </c>
      <c r="D675" s="218">
        <v>38991</v>
      </c>
      <c r="E675" s="218">
        <v>35646</v>
      </c>
      <c r="F675" s="217">
        <f t="shared" si="10"/>
        <v>91.421097176271445</v>
      </c>
      <c r="G675" s="13"/>
    </row>
    <row r="676" spans="1:7" ht="14.1" customHeight="1" x14ac:dyDescent="0.25">
      <c r="A676" s="214" t="s">
        <v>369</v>
      </c>
      <c r="B676" s="215" t="s">
        <v>370</v>
      </c>
      <c r="C676" s="321">
        <v>662</v>
      </c>
      <c r="D676" s="218">
        <v>0</v>
      </c>
      <c r="E676" s="218">
        <v>0</v>
      </c>
      <c r="F676" s="217" t="str">
        <f t="shared" si="10"/>
        <v>-</v>
      </c>
      <c r="G676" s="13"/>
    </row>
    <row r="677" spans="1:7" ht="14.1" customHeight="1" x14ac:dyDescent="0.25">
      <c r="A677" s="214">
        <v>32911</v>
      </c>
      <c r="B677" s="215" t="s">
        <v>371</v>
      </c>
      <c r="C677" s="321">
        <v>663</v>
      </c>
      <c r="D677" s="218">
        <v>272480</v>
      </c>
      <c r="E677" s="218">
        <v>171262</v>
      </c>
      <c r="F677" s="217">
        <f t="shared" si="10"/>
        <v>62.853053435114504</v>
      </c>
      <c r="G677" s="13"/>
    </row>
    <row r="678" spans="1:7" ht="14.1" customHeight="1" x14ac:dyDescent="0.25">
      <c r="A678" s="214" t="s">
        <v>372</v>
      </c>
      <c r="B678" s="215" t="s">
        <v>373</v>
      </c>
      <c r="C678" s="321">
        <v>664</v>
      </c>
      <c r="D678" s="218">
        <v>0</v>
      </c>
      <c r="E678" s="218">
        <v>0</v>
      </c>
      <c r="F678" s="217" t="str">
        <f t="shared" si="10"/>
        <v>-</v>
      </c>
      <c r="G678" s="13"/>
    </row>
    <row r="679" spans="1:7" ht="14.1" customHeight="1" x14ac:dyDescent="0.25">
      <c r="A679" s="214">
        <v>34111</v>
      </c>
      <c r="B679" s="215" t="s">
        <v>356</v>
      </c>
      <c r="C679" s="321">
        <v>665</v>
      </c>
      <c r="D679" s="218">
        <v>0</v>
      </c>
      <c r="E679" s="218">
        <v>0</v>
      </c>
      <c r="F679" s="217" t="str">
        <f t="shared" si="10"/>
        <v>-</v>
      </c>
      <c r="G679" s="13"/>
    </row>
    <row r="680" spans="1:7" ht="14.1" customHeight="1" x14ac:dyDescent="0.25">
      <c r="A680" s="214">
        <v>34112</v>
      </c>
      <c r="B680" s="215" t="s">
        <v>1339</v>
      </c>
      <c r="C680" s="321">
        <v>666</v>
      </c>
      <c r="D680" s="218">
        <v>0</v>
      </c>
      <c r="E680" s="218">
        <v>0</v>
      </c>
      <c r="F680" s="217" t="str">
        <f t="shared" si="10"/>
        <v>-</v>
      </c>
      <c r="G680" s="13"/>
    </row>
    <row r="681" spans="1:7" ht="14.1" customHeight="1" x14ac:dyDescent="0.25">
      <c r="A681" s="214">
        <v>34121</v>
      </c>
      <c r="B681" s="215" t="s">
        <v>3745</v>
      </c>
      <c r="C681" s="321">
        <v>667</v>
      </c>
      <c r="D681" s="218">
        <v>0</v>
      </c>
      <c r="E681" s="218">
        <v>0</v>
      </c>
      <c r="F681" s="217" t="str">
        <f t="shared" si="10"/>
        <v>-</v>
      </c>
      <c r="G681" s="13"/>
    </row>
    <row r="682" spans="1:7" ht="14.1" customHeight="1" x14ac:dyDescent="0.25">
      <c r="A682" s="214">
        <v>34122</v>
      </c>
      <c r="B682" s="215" t="s">
        <v>3746</v>
      </c>
      <c r="C682" s="321">
        <v>668</v>
      </c>
      <c r="D682" s="218">
        <v>0</v>
      </c>
      <c r="E682" s="218">
        <v>0</v>
      </c>
      <c r="F682" s="217" t="str">
        <f t="shared" si="10"/>
        <v>-</v>
      </c>
      <c r="G682" s="13"/>
    </row>
    <row r="683" spans="1:7" ht="14.1" customHeight="1" x14ac:dyDescent="0.25">
      <c r="A683" s="214">
        <v>34131</v>
      </c>
      <c r="B683" s="215" t="s">
        <v>3747</v>
      </c>
      <c r="C683" s="321">
        <v>669</v>
      </c>
      <c r="D683" s="218">
        <v>0</v>
      </c>
      <c r="E683" s="218">
        <v>0</v>
      </c>
      <c r="F683" s="217" t="str">
        <f t="shared" si="10"/>
        <v>-</v>
      </c>
      <c r="G683" s="13"/>
    </row>
    <row r="684" spans="1:7" ht="14.1" customHeight="1" x14ac:dyDescent="0.25">
      <c r="A684" s="214">
        <v>34132</v>
      </c>
      <c r="B684" s="215" t="s">
        <v>3748</v>
      </c>
      <c r="C684" s="321">
        <v>670</v>
      </c>
      <c r="D684" s="218">
        <v>0</v>
      </c>
      <c r="E684" s="218">
        <v>0</v>
      </c>
      <c r="F684" s="217" t="str">
        <f t="shared" si="10"/>
        <v>-</v>
      </c>
      <c r="G684" s="13"/>
    </row>
    <row r="685" spans="1:7" ht="14.1" customHeight="1" x14ac:dyDescent="0.25">
      <c r="A685" s="214">
        <v>34191</v>
      </c>
      <c r="B685" s="215" t="s">
        <v>3749</v>
      </c>
      <c r="C685" s="321">
        <v>671</v>
      </c>
      <c r="D685" s="218">
        <v>0</v>
      </c>
      <c r="E685" s="218">
        <v>0</v>
      </c>
      <c r="F685" s="217" t="str">
        <f t="shared" si="10"/>
        <v>-</v>
      </c>
      <c r="G685" s="13"/>
    </row>
    <row r="686" spans="1:7" ht="14.1" customHeight="1" x14ac:dyDescent="0.25">
      <c r="A686" s="214">
        <v>34192</v>
      </c>
      <c r="B686" s="215" t="s">
        <v>3750</v>
      </c>
      <c r="C686" s="321">
        <v>672</v>
      </c>
      <c r="D686" s="218">
        <v>0</v>
      </c>
      <c r="E686" s="218">
        <v>0</v>
      </c>
      <c r="F686" s="217" t="str">
        <f t="shared" si="10"/>
        <v>-</v>
      </c>
      <c r="G686" s="13"/>
    </row>
    <row r="687" spans="1:7" ht="14.1" customHeight="1" x14ac:dyDescent="0.25">
      <c r="A687" s="214">
        <v>34213</v>
      </c>
      <c r="B687" s="215" t="s">
        <v>2977</v>
      </c>
      <c r="C687" s="321">
        <v>673</v>
      </c>
      <c r="D687" s="218">
        <v>0</v>
      </c>
      <c r="E687" s="218">
        <v>0</v>
      </c>
      <c r="F687" s="217" t="str">
        <f t="shared" si="10"/>
        <v>-</v>
      </c>
      <c r="G687" s="13"/>
    </row>
    <row r="688" spans="1:7" ht="14.1" customHeight="1" x14ac:dyDescent="0.25">
      <c r="A688" s="214">
        <v>34214</v>
      </c>
      <c r="B688" s="215" t="s">
        <v>374</v>
      </c>
      <c r="C688" s="321">
        <v>674</v>
      </c>
      <c r="D688" s="218">
        <v>0</v>
      </c>
      <c r="E688" s="218">
        <v>0</v>
      </c>
      <c r="F688" s="217" t="str">
        <f t="shared" si="10"/>
        <v>-</v>
      </c>
      <c r="G688" s="13"/>
    </row>
    <row r="689" spans="1:7" ht="14.1" customHeight="1" x14ac:dyDescent="0.25">
      <c r="A689" s="214">
        <v>34215</v>
      </c>
      <c r="B689" s="215" t="s">
        <v>375</v>
      </c>
      <c r="C689" s="321">
        <v>675</v>
      </c>
      <c r="D689" s="218">
        <v>0</v>
      </c>
      <c r="E689" s="218">
        <v>0</v>
      </c>
      <c r="F689" s="217" t="str">
        <f t="shared" si="10"/>
        <v>-</v>
      </c>
      <c r="G689" s="13"/>
    </row>
    <row r="690" spans="1:7" ht="14.1" customHeight="1" x14ac:dyDescent="0.25">
      <c r="A690" s="214">
        <v>34216</v>
      </c>
      <c r="B690" s="215" t="s">
        <v>376</v>
      </c>
      <c r="C690" s="321">
        <v>676</v>
      </c>
      <c r="D690" s="218">
        <v>0</v>
      </c>
      <c r="E690" s="218">
        <v>0</v>
      </c>
      <c r="F690" s="217" t="str">
        <f t="shared" si="10"/>
        <v>-</v>
      </c>
      <c r="G690" s="13"/>
    </row>
    <row r="691" spans="1:7" ht="14.1" customHeight="1" x14ac:dyDescent="0.25">
      <c r="A691" s="214">
        <v>34222</v>
      </c>
      <c r="B691" s="215" t="s">
        <v>377</v>
      </c>
      <c r="C691" s="321">
        <v>677</v>
      </c>
      <c r="D691" s="218">
        <v>0</v>
      </c>
      <c r="E691" s="218">
        <v>0</v>
      </c>
      <c r="F691" s="217" t="str">
        <f t="shared" si="10"/>
        <v>-</v>
      </c>
      <c r="G691" s="13"/>
    </row>
    <row r="692" spans="1:7" ht="14.1" customHeight="1" x14ac:dyDescent="0.25">
      <c r="A692" s="214">
        <v>34223</v>
      </c>
      <c r="B692" s="215" t="s">
        <v>378</v>
      </c>
      <c r="C692" s="321">
        <v>678</v>
      </c>
      <c r="D692" s="218">
        <v>0</v>
      </c>
      <c r="E692" s="218">
        <v>0</v>
      </c>
      <c r="F692" s="217" t="str">
        <f t="shared" si="10"/>
        <v>-</v>
      </c>
      <c r="G692" s="13"/>
    </row>
    <row r="693" spans="1:7" ht="14.1" customHeight="1" x14ac:dyDescent="0.25">
      <c r="A693" s="214">
        <v>34224</v>
      </c>
      <c r="B693" s="215" t="s">
        <v>1808</v>
      </c>
      <c r="C693" s="321">
        <v>679</v>
      </c>
      <c r="D693" s="218">
        <v>0</v>
      </c>
      <c r="E693" s="218">
        <v>0</v>
      </c>
      <c r="F693" s="217" t="str">
        <f t="shared" si="10"/>
        <v>-</v>
      </c>
      <c r="G693" s="13"/>
    </row>
    <row r="694" spans="1:7" ht="14.1" customHeight="1" x14ac:dyDescent="0.25">
      <c r="A694" s="214">
        <v>34233</v>
      </c>
      <c r="B694" s="215" t="s">
        <v>1809</v>
      </c>
      <c r="C694" s="321">
        <v>680</v>
      </c>
      <c r="D694" s="218">
        <v>0</v>
      </c>
      <c r="E694" s="218">
        <v>0</v>
      </c>
      <c r="F694" s="217" t="str">
        <f t="shared" si="10"/>
        <v>-</v>
      </c>
      <c r="G694" s="13"/>
    </row>
    <row r="695" spans="1:7" ht="14.1" customHeight="1" x14ac:dyDescent="0.25">
      <c r="A695" s="214">
        <v>34234</v>
      </c>
      <c r="B695" s="215" t="s">
        <v>1810</v>
      </c>
      <c r="C695" s="321">
        <v>681</v>
      </c>
      <c r="D695" s="218">
        <v>0</v>
      </c>
      <c r="E695" s="218">
        <v>0</v>
      </c>
      <c r="F695" s="217" t="str">
        <f t="shared" si="10"/>
        <v>-</v>
      </c>
      <c r="G695" s="13"/>
    </row>
    <row r="696" spans="1:7" ht="14.1" customHeight="1" x14ac:dyDescent="0.25">
      <c r="A696" s="214">
        <v>34235</v>
      </c>
      <c r="B696" s="219" t="s">
        <v>1811</v>
      </c>
      <c r="C696" s="321">
        <v>682</v>
      </c>
      <c r="D696" s="218">
        <v>0</v>
      </c>
      <c r="E696" s="218">
        <v>0</v>
      </c>
      <c r="F696" s="217" t="str">
        <f t="shared" ref="F696:F759" si="11">IF(D696&gt;0,IF(E696/D696&gt;=100,"&gt;&gt;100",E696/D696*100),"-")</f>
        <v>-</v>
      </c>
      <c r="G696" s="13"/>
    </row>
    <row r="697" spans="1:7" ht="14.1" customHeight="1" x14ac:dyDescent="0.25">
      <c r="A697" s="214">
        <v>34236</v>
      </c>
      <c r="B697" s="215" t="s">
        <v>379</v>
      </c>
      <c r="C697" s="321">
        <v>683</v>
      </c>
      <c r="D697" s="218">
        <v>0</v>
      </c>
      <c r="E697" s="218">
        <v>0</v>
      </c>
      <c r="F697" s="217" t="str">
        <f t="shared" si="11"/>
        <v>-</v>
      </c>
      <c r="G697" s="13"/>
    </row>
    <row r="698" spans="1:7" ht="14.1" customHeight="1" x14ac:dyDescent="0.25">
      <c r="A698" s="214">
        <v>34237</v>
      </c>
      <c r="B698" s="215" t="s">
        <v>380</v>
      </c>
      <c r="C698" s="321">
        <v>684</v>
      </c>
      <c r="D698" s="218">
        <v>0</v>
      </c>
      <c r="E698" s="218">
        <v>0</v>
      </c>
      <c r="F698" s="217" t="str">
        <f t="shared" si="11"/>
        <v>-</v>
      </c>
      <c r="G698" s="13"/>
    </row>
    <row r="699" spans="1:7" ht="14.1" customHeight="1" x14ac:dyDescent="0.25">
      <c r="A699" s="214">
        <v>34238</v>
      </c>
      <c r="B699" s="215" t="s">
        <v>381</v>
      </c>
      <c r="C699" s="321">
        <v>685</v>
      </c>
      <c r="D699" s="218">
        <v>0</v>
      </c>
      <c r="E699" s="218">
        <v>0</v>
      </c>
      <c r="F699" s="217" t="str">
        <f t="shared" si="11"/>
        <v>-</v>
      </c>
      <c r="G699" s="13"/>
    </row>
    <row r="700" spans="1:7" ht="14.1" customHeight="1" x14ac:dyDescent="0.25">
      <c r="A700" s="214">
        <v>34273</v>
      </c>
      <c r="B700" s="215" t="s">
        <v>382</v>
      </c>
      <c r="C700" s="321">
        <v>686</v>
      </c>
      <c r="D700" s="218">
        <v>0</v>
      </c>
      <c r="E700" s="218">
        <v>0</v>
      </c>
      <c r="F700" s="217" t="str">
        <f t="shared" si="11"/>
        <v>-</v>
      </c>
      <c r="G700" s="13"/>
    </row>
    <row r="701" spans="1:7" ht="14.1" customHeight="1" x14ac:dyDescent="0.25">
      <c r="A701" s="214">
        <v>34274</v>
      </c>
      <c r="B701" s="215" t="s">
        <v>383</v>
      </c>
      <c r="C701" s="321">
        <v>687</v>
      </c>
      <c r="D701" s="218">
        <v>0</v>
      </c>
      <c r="E701" s="218">
        <v>0</v>
      </c>
      <c r="F701" s="217" t="str">
        <f t="shared" si="11"/>
        <v>-</v>
      </c>
      <c r="G701" s="13"/>
    </row>
    <row r="702" spans="1:7" ht="14.1" customHeight="1" x14ac:dyDescent="0.25">
      <c r="A702" s="214">
        <v>34275</v>
      </c>
      <c r="B702" s="215" t="s">
        <v>3394</v>
      </c>
      <c r="C702" s="321">
        <v>688</v>
      </c>
      <c r="D702" s="218">
        <v>0</v>
      </c>
      <c r="E702" s="218">
        <v>0</v>
      </c>
      <c r="F702" s="217" t="str">
        <f t="shared" si="11"/>
        <v>-</v>
      </c>
      <c r="G702" s="13"/>
    </row>
    <row r="703" spans="1:7" ht="14.1" customHeight="1" x14ac:dyDescent="0.25">
      <c r="A703" s="214">
        <v>34281</v>
      </c>
      <c r="B703" s="215" t="s">
        <v>3395</v>
      </c>
      <c r="C703" s="321">
        <v>689</v>
      </c>
      <c r="D703" s="218">
        <v>0</v>
      </c>
      <c r="E703" s="218">
        <v>0</v>
      </c>
      <c r="F703" s="217" t="str">
        <f t="shared" si="11"/>
        <v>-</v>
      </c>
      <c r="G703" s="13"/>
    </row>
    <row r="704" spans="1:7" ht="14.1" customHeight="1" x14ac:dyDescent="0.25">
      <c r="A704" s="214">
        <v>34282</v>
      </c>
      <c r="B704" s="215" t="s">
        <v>3396</v>
      </c>
      <c r="C704" s="321">
        <v>690</v>
      </c>
      <c r="D704" s="218">
        <v>0</v>
      </c>
      <c r="E704" s="218">
        <v>0</v>
      </c>
      <c r="F704" s="217" t="str">
        <f t="shared" si="11"/>
        <v>-</v>
      </c>
      <c r="G704" s="13"/>
    </row>
    <row r="705" spans="1:7" ht="14.1" customHeight="1" x14ac:dyDescent="0.25">
      <c r="A705" s="214">
        <v>34283</v>
      </c>
      <c r="B705" s="215" t="s">
        <v>3397</v>
      </c>
      <c r="C705" s="321">
        <v>691</v>
      </c>
      <c r="D705" s="218">
        <v>0</v>
      </c>
      <c r="E705" s="218">
        <v>0</v>
      </c>
      <c r="F705" s="217" t="str">
        <f t="shared" si="11"/>
        <v>-</v>
      </c>
      <c r="G705" s="13"/>
    </row>
    <row r="706" spans="1:7" ht="14.1" customHeight="1" x14ac:dyDescent="0.25">
      <c r="A706" s="214">
        <v>34284</v>
      </c>
      <c r="B706" s="215" t="s">
        <v>3398</v>
      </c>
      <c r="C706" s="321">
        <v>692</v>
      </c>
      <c r="D706" s="218">
        <v>0</v>
      </c>
      <c r="E706" s="218">
        <v>0</v>
      </c>
      <c r="F706" s="217" t="str">
        <f t="shared" si="11"/>
        <v>-</v>
      </c>
      <c r="G706" s="13"/>
    </row>
    <row r="707" spans="1:7" ht="14.1" customHeight="1" x14ac:dyDescent="0.25">
      <c r="A707" s="214">
        <v>34285</v>
      </c>
      <c r="B707" s="215" t="s">
        <v>3399</v>
      </c>
      <c r="C707" s="321">
        <v>693</v>
      </c>
      <c r="D707" s="218">
        <v>0</v>
      </c>
      <c r="E707" s="218">
        <v>0</v>
      </c>
      <c r="F707" s="217" t="str">
        <f t="shared" si="11"/>
        <v>-</v>
      </c>
      <c r="G707" s="13"/>
    </row>
    <row r="708" spans="1:7" ht="14.1" customHeight="1" x14ac:dyDescent="0.25">
      <c r="A708" s="214">
        <v>34286</v>
      </c>
      <c r="B708" s="215" t="s">
        <v>3400</v>
      </c>
      <c r="C708" s="321">
        <v>694</v>
      </c>
      <c r="D708" s="218">
        <v>0</v>
      </c>
      <c r="E708" s="218">
        <v>0</v>
      </c>
      <c r="F708" s="217" t="str">
        <f t="shared" si="11"/>
        <v>-</v>
      </c>
      <c r="G708" s="13"/>
    </row>
    <row r="709" spans="1:7" ht="24.9" customHeight="1" x14ac:dyDescent="0.25">
      <c r="A709" s="214">
        <v>34287</v>
      </c>
      <c r="B709" s="215" t="s">
        <v>3401</v>
      </c>
      <c r="C709" s="321">
        <v>695</v>
      </c>
      <c r="D709" s="218">
        <v>0</v>
      </c>
      <c r="E709" s="218">
        <v>0</v>
      </c>
      <c r="F709" s="217" t="str">
        <f t="shared" si="11"/>
        <v>-</v>
      </c>
      <c r="G709" s="13"/>
    </row>
    <row r="710" spans="1:7" ht="14.1" customHeight="1" x14ac:dyDescent="0.25">
      <c r="A710" s="214">
        <v>34341</v>
      </c>
      <c r="B710" s="215" t="s">
        <v>3402</v>
      </c>
      <c r="C710" s="321">
        <v>696</v>
      </c>
      <c r="D710" s="218">
        <v>0</v>
      </c>
      <c r="E710" s="218">
        <v>0</v>
      </c>
      <c r="F710" s="217" t="str">
        <f t="shared" si="11"/>
        <v>-</v>
      </c>
      <c r="G710" s="13"/>
    </row>
    <row r="711" spans="1:7" ht="14.1" customHeight="1" x14ac:dyDescent="0.25">
      <c r="A711" s="214">
        <v>35231</v>
      </c>
      <c r="B711" s="215" t="s">
        <v>1536</v>
      </c>
      <c r="C711" s="321">
        <v>697</v>
      </c>
      <c r="D711" s="218">
        <v>212638</v>
      </c>
      <c r="E711" s="218">
        <v>199622</v>
      </c>
      <c r="F711" s="217">
        <f t="shared" si="11"/>
        <v>93.878798709543915</v>
      </c>
      <c r="G711" s="13"/>
    </row>
    <row r="712" spans="1:7" ht="14.1" customHeight="1" x14ac:dyDescent="0.25">
      <c r="A712" s="214">
        <v>35232</v>
      </c>
      <c r="B712" s="215" t="s">
        <v>1537</v>
      </c>
      <c r="C712" s="321">
        <v>698</v>
      </c>
      <c r="D712" s="218">
        <v>0</v>
      </c>
      <c r="E712" s="218">
        <v>0</v>
      </c>
      <c r="F712" s="217" t="str">
        <f t="shared" si="11"/>
        <v>-</v>
      </c>
      <c r="G712" s="13"/>
    </row>
    <row r="713" spans="1:7" ht="14.1" customHeight="1" x14ac:dyDescent="0.25">
      <c r="A713" s="214">
        <v>36313</v>
      </c>
      <c r="B713" s="215" t="s">
        <v>3403</v>
      </c>
      <c r="C713" s="321">
        <v>699</v>
      </c>
      <c r="D713" s="218">
        <v>0</v>
      </c>
      <c r="E713" s="218">
        <v>0</v>
      </c>
      <c r="F713" s="217" t="str">
        <f t="shared" si="11"/>
        <v>-</v>
      </c>
      <c r="G713" s="13"/>
    </row>
    <row r="714" spans="1:7" ht="14.1" customHeight="1" x14ac:dyDescent="0.25">
      <c r="A714" s="214">
        <v>36314</v>
      </c>
      <c r="B714" s="215" t="s">
        <v>3404</v>
      </c>
      <c r="C714" s="321">
        <v>700</v>
      </c>
      <c r="D714" s="218">
        <v>42013</v>
      </c>
      <c r="E714" s="218">
        <v>34701</v>
      </c>
      <c r="F714" s="217">
        <f t="shared" si="11"/>
        <v>82.595863185204578</v>
      </c>
      <c r="G714" s="13"/>
    </row>
    <row r="715" spans="1:7" ht="14.1" customHeight="1" x14ac:dyDescent="0.25">
      <c r="A715" s="214">
        <v>36315</v>
      </c>
      <c r="B715" s="215" t="s">
        <v>3405</v>
      </c>
      <c r="C715" s="321">
        <v>701</v>
      </c>
      <c r="D715" s="218">
        <v>0</v>
      </c>
      <c r="E715" s="218">
        <v>0</v>
      </c>
      <c r="F715" s="217" t="str">
        <f t="shared" si="11"/>
        <v>-</v>
      </c>
      <c r="G715" s="13"/>
    </row>
    <row r="716" spans="1:7" ht="14.1" customHeight="1" x14ac:dyDescent="0.25">
      <c r="A716" s="214">
        <v>36316</v>
      </c>
      <c r="B716" s="215" t="s">
        <v>3406</v>
      </c>
      <c r="C716" s="321">
        <v>702</v>
      </c>
      <c r="D716" s="218">
        <v>0</v>
      </c>
      <c r="E716" s="218">
        <v>0</v>
      </c>
      <c r="F716" s="217" t="str">
        <f t="shared" si="11"/>
        <v>-</v>
      </c>
      <c r="G716" s="13"/>
    </row>
    <row r="717" spans="1:7" ht="14.1" customHeight="1" x14ac:dyDescent="0.25">
      <c r="A717" s="214">
        <v>36317</v>
      </c>
      <c r="B717" s="215" t="s">
        <v>3407</v>
      </c>
      <c r="C717" s="321">
        <v>703</v>
      </c>
      <c r="D717" s="218">
        <v>0</v>
      </c>
      <c r="E717" s="218">
        <v>0</v>
      </c>
      <c r="F717" s="217" t="str">
        <f t="shared" si="11"/>
        <v>-</v>
      </c>
      <c r="G717" s="13"/>
    </row>
    <row r="718" spans="1:7" ht="14.1" customHeight="1" x14ac:dyDescent="0.25">
      <c r="A718" s="214">
        <v>36318</v>
      </c>
      <c r="B718" s="215" t="s">
        <v>3408</v>
      </c>
      <c r="C718" s="321">
        <v>704</v>
      </c>
      <c r="D718" s="218">
        <v>0</v>
      </c>
      <c r="E718" s="218">
        <v>0</v>
      </c>
      <c r="F718" s="217" t="str">
        <f t="shared" si="11"/>
        <v>-</v>
      </c>
      <c r="G718" s="13"/>
    </row>
    <row r="719" spans="1:7" ht="15" customHeight="1" x14ac:dyDescent="0.25">
      <c r="A719" s="214">
        <v>36319</v>
      </c>
      <c r="B719" s="219" t="s">
        <v>3409</v>
      </c>
      <c r="C719" s="321">
        <v>705</v>
      </c>
      <c r="D719" s="218">
        <v>0</v>
      </c>
      <c r="E719" s="218">
        <v>0</v>
      </c>
      <c r="F719" s="217" t="str">
        <f t="shared" si="11"/>
        <v>-</v>
      </c>
      <c r="G719" s="13"/>
    </row>
    <row r="720" spans="1:7" ht="14.1" customHeight="1" x14ac:dyDescent="0.25">
      <c r="A720" s="214">
        <v>36323</v>
      </c>
      <c r="B720" s="215" t="s">
        <v>3410</v>
      </c>
      <c r="C720" s="321">
        <v>706</v>
      </c>
      <c r="D720" s="218">
        <v>0</v>
      </c>
      <c r="E720" s="218">
        <v>0</v>
      </c>
      <c r="F720" s="217" t="str">
        <f t="shared" si="11"/>
        <v>-</v>
      </c>
      <c r="G720" s="13"/>
    </row>
    <row r="721" spans="1:7" ht="14.1" customHeight="1" x14ac:dyDescent="0.25">
      <c r="A721" s="214">
        <v>36324</v>
      </c>
      <c r="B721" s="215" t="s">
        <v>3411</v>
      </c>
      <c r="C721" s="321">
        <v>707</v>
      </c>
      <c r="D721" s="218">
        <v>0</v>
      </c>
      <c r="E721" s="218">
        <v>0</v>
      </c>
      <c r="F721" s="217" t="str">
        <f t="shared" si="11"/>
        <v>-</v>
      </c>
      <c r="G721" s="13"/>
    </row>
    <row r="722" spans="1:7" ht="14.1" customHeight="1" x14ac:dyDescent="0.25">
      <c r="A722" s="214">
        <v>36325</v>
      </c>
      <c r="B722" s="215" t="s">
        <v>3412</v>
      </c>
      <c r="C722" s="321">
        <v>708</v>
      </c>
      <c r="D722" s="218">
        <v>0</v>
      </c>
      <c r="E722" s="218">
        <v>0</v>
      </c>
      <c r="F722" s="217" t="str">
        <f t="shared" si="11"/>
        <v>-</v>
      </c>
      <c r="G722" s="13"/>
    </row>
    <row r="723" spans="1:7" ht="14.1" customHeight="1" x14ac:dyDescent="0.25">
      <c r="A723" s="214">
        <v>36326</v>
      </c>
      <c r="B723" s="215" t="s">
        <v>3413</v>
      </c>
      <c r="C723" s="321">
        <v>709</v>
      </c>
      <c r="D723" s="218">
        <v>0</v>
      </c>
      <c r="E723" s="218">
        <v>0</v>
      </c>
      <c r="F723" s="217" t="str">
        <f t="shared" si="11"/>
        <v>-</v>
      </c>
      <c r="G723" s="13"/>
    </row>
    <row r="724" spans="1:7" ht="14.1" customHeight="1" x14ac:dyDescent="0.25">
      <c r="A724" s="214">
        <v>36327</v>
      </c>
      <c r="B724" s="215" t="s">
        <v>3414</v>
      </c>
      <c r="C724" s="321">
        <v>710</v>
      </c>
      <c r="D724" s="218">
        <v>0</v>
      </c>
      <c r="E724" s="218">
        <v>0</v>
      </c>
      <c r="F724" s="217" t="str">
        <f t="shared" si="11"/>
        <v>-</v>
      </c>
      <c r="G724" s="13"/>
    </row>
    <row r="725" spans="1:7" ht="14.1" customHeight="1" x14ac:dyDescent="0.25">
      <c r="A725" s="214">
        <v>36328</v>
      </c>
      <c r="B725" s="215" t="s">
        <v>3415</v>
      </c>
      <c r="C725" s="321">
        <v>711</v>
      </c>
      <c r="D725" s="218">
        <v>0</v>
      </c>
      <c r="E725" s="218">
        <v>0</v>
      </c>
      <c r="F725" s="217" t="str">
        <f t="shared" si="11"/>
        <v>-</v>
      </c>
      <c r="G725" s="13"/>
    </row>
    <row r="726" spans="1:7" ht="14.1" customHeight="1" x14ac:dyDescent="0.25">
      <c r="A726" s="214">
        <v>36329</v>
      </c>
      <c r="B726" s="219" t="s">
        <v>3416</v>
      </c>
      <c r="C726" s="321">
        <v>712</v>
      </c>
      <c r="D726" s="218">
        <v>0</v>
      </c>
      <c r="E726" s="218">
        <v>0</v>
      </c>
      <c r="F726" s="217" t="str">
        <f t="shared" si="11"/>
        <v>-</v>
      </c>
      <c r="G726" s="13"/>
    </row>
    <row r="727" spans="1:7" ht="14.1" customHeight="1" x14ac:dyDescent="0.25">
      <c r="A727" s="214">
        <v>36331</v>
      </c>
      <c r="B727" s="219" t="s">
        <v>3417</v>
      </c>
      <c r="C727" s="321">
        <v>713</v>
      </c>
      <c r="D727" s="218">
        <v>0</v>
      </c>
      <c r="E727" s="218">
        <v>0</v>
      </c>
      <c r="F727" s="217" t="str">
        <f t="shared" si="11"/>
        <v>-</v>
      </c>
      <c r="G727" s="13"/>
    </row>
    <row r="728" spans="1:7" ht="24.9" customHeight="1" x14ac:dyDescent="0.25">
      <c r="A728" s="214">
        <v>36332</v>
      </c>
      <c r="B728" s="215" t="s">
        <v>3418</v>
      </c>
      <c r="C728" s="321">
        <v>714</v>
      </c>
      <c r="D728" s="218">
        <v>0</v>
      </c>
      <c r="E728" s="218">
        <v>0</v>
      </c>
      <c r="F728" s="217" t="str">
        <f t="shared" si="11"/>
        <v>-</v>
      </c>
      <c r="G728" s="13"/>
    </row>
    <row r="729" spans="1:7" ht="14.1" customHeight="1" x14ac:dyDescent="0.25">
      <c r="A729" s="214">
        <v>36341</v>
      </c>
      <c r="B729" s="219" t="s">
        <v>3419</v>
      </c>
      <c r="C729" s="321">
        <v>715</v>
      </c>
      <c r="D729" s="218">
        <v>0</v>
      </c>
      <c r="E729" s="218">
        <v>0</v>
      </c>
      <c r="F729" s="217" t="str">
        <f t="shared" si="11"/>
        <v>-</v>
      </c>
      <c r="G729" s="13"/>
    </row>
    <row r="730" spans="1:7" ht="24.9" customHeight="1" x14ac:dyDescent="0.25">
      <c r="A730" s="214">
        <v>36342</v>
      </c>
      <c r="B730" s="215" t="s">
        <v>3420</v>
      </c>
      <c r="C730" s="321">
        <v>716</v>
      </c>
      <c r="D730" s="218">
        <v>0</v>
      </c>
      <c r="E730" s="218">
        <v>0</v>
      </c>
      <c r="F730" s="217" t="str">
        <f t="shared" si="11"/>
        <v>-</v>
      </c>
      <c r="G730" s="13"/>
    </row>
    <row r="731" spans="1:7" ht="14.1" customHeight="1" x14ac:dyDescent="0.25">
      <c r="A731" s="214">
        <v>37215</v>
      </c>
      <c r="B731" s="215" t="s">
        <v>309</v>
      </c>
      <c r="C731" s="321">
        <v>717</v>
      </c>
      <c r="D731" s="218">
        <v>0</v>
      </c>
      <c r="E731" s="218">
        <v>0</v>
      </c>
      <c r="F731" s="217" t="str">
        <f t="shared" si="11"/>
        <v>-</v>
      </c>
      <c r="G731" s="13"/>
    </row>
    <row r="732" spans="1:7" ht="14.1" customHeight="1" x14ac:dyDescent="0.25">
      <c r="A732" s="214">
        <v>37216</v>
      </c>
      <c r="B732" s="215" t="s">
        <v>3421</v>
      </c>
      <c r="C732" s="321">
        <v>718</v>
      </c>
      <c r="D732" s="218">
        <v>0</v>
      </c>
      <c r="E732" s="218">
        <v>0</v>
      </c>
      <c r="F732" s="217" t="str">
        <f t="shared" si="11"/>
        <v>-</v>
      </c>
      <c r="G732" s="13"/>
    </row>
    <row r="733" spans="1:7" ht="14.1" customHeight="1" x14ac:dyDescent="0.25">
      <c r="A733" s="214">
        <v>37221</v>
      </c>
      <c r="B733" s="215" t="s">
        <v>338</v>
      </c>
      <c r="C733" s="321">
        <v>719</v>
      </c>
      <c r="D733" s="218">
        <v>0</v>
      </c>
      <c r="E733" s="218">
        <v>0</v>
      </c>
      <c r="F733" s="217" t="str">
        <f t="shared" si="11"/>
        <v>-</v>
      </c>
      <c r="G733" s="13"/>
    </row>
    <row r="734" spans="1:7" ht="14.1" customHeight="1" x14ac:dyDescent="0.25">
      <c r="A734" s="214">
        <v>38117</v>
      </c>
      <c r="B734" s="215" t="s">
        <v>3422</v>
      </c>
      <c r="C734" s="321">
        <v>720</v>
      </c>
      <c r="D734" s="218">
        <v>0</v>
      </c>
      <c r="E734" s="218">
        <v>0</v>
      </c>
      <c r="F734" s="217" t="str">
        <f t="shared" si="11"/>
        <v>-</v>
      </c>
      <c r="G734" s="13"/>
    </row>
    <row r="735" spans="1:7" ht="14.1" customHeight="1" x14ac:dyDescent="0.25">
      <c r="A735" s="214">
        <v>38612</v>
      </c>
      <c r="B735" s="215" t="s">
        <v>339</v>
      </c>
      <c r="C735" s="321">
        <v>721</v>
      </c>
      <c r="D735" s="218">
        <v>300129</v>
      </c>
      <c r="E735" s="218">
        <v>1101465</v>
      </c>
      <c r="F735" s="217">
        <f t="shared" si="11"/>
        <v>366.99719120778065</v>
      </c>
      <c r="G735" s="13"/>
    </row>
    <row r="736" spans="1:7" ht="14.1" customHeight="1" x14ac:dyDescent="0.25">
      <c r="A736" s="214">
        <v>38613</v>
      </c>
      <c r="B736" s="215" t="s">
        <v>3423</v>
      </c>
      <c r="C736" s="321">
        <v>722</v>
      </c>
      <c r="D736" s="218">
        <v>0</v>
      </c>
      <c r="E736" s="218">
        <v>0</v>
      </c>
      <c r="F736" s="217" t="str">
        <f t="shared" si="11"/>
        <v>-</v>
      </c>
      <c r="G736" s="13"/>
    </row>
    <row r="737" spans="1:7" ht="14.1" customHeight="1" x14ac:dyDescent="0.25">
      <c r="A737" s="214">
        <v>38614</v>
      </c>
      <c r="B737" s="215" t="s">
        <v>3424</v>
      </c>
      <c r="C737" s="321">
        <v>723</v>
      </c>
      <c r="D737" s="218">
        <v>0</v>
      </c>
      <c r="E737" s="218">
        <v>0</v>
      </c>
      <c r="F737" s="217" t="str">
        <f t="shared" si="11"/>
        <v>-</v>
      </c>
      <c r="G737" s="13"/>
    </row>
    <row r="738" spans="1:7" ht="14.1" customHeight="1" x14ac:dyDescent="0.25">
      <c r="A738" s="214">
        <v>38615</v>
      </c>
      <c r="B738" s="215" t="s">
        <v>3425</v>
      </c>
      <c r="C738" s="321">
        <v>724</v>
      </c>
      <c r="D738" s="218">
        <v>0</v>
      </c>
      <c r="E738" s="218">
        <v>0</v>
      </c>
      <c r="F738" s="217" t="str">
        <f t="shared" si="11"/>
        <v>-</v>
      </c>
      <c r="G738" s="13"/>
    </row>
    <row r="739" spans="1:7" ht="14.1" customHeight="1" x14ac:dyDescent="0.25">
      <c r="A739" s="214">
        <v>38622</v>
      </c>
      <c r="B739" s="215" t="s">
        <v>340</v>
      </c>
      <c r="C739" s="321">
        <v>725</v>
      </c>
      <c r="D739" s="218">
        <v>0</v>
      </c>
      <c r="E739" s="218">
        <v>0</v>
      </c>
      <c r="F739" s="217" t="str">
        <f t="shared" si="11"/>
        <v>-</v>
      </c>
      <c r="G739" s="13"/>
    </row>
    <row r="740" spans="1:7" ht="14.1" customHeight="1" x14ac:dyDescent="0.25">
      <c r="A740" s="214">
        <v>38623</v>
      </c>
      <c r="B740" s="215" t="s">
        <v>3426</v>
      </c>
      <c r="C740" s="321">
        <v>726</v>
      </c>
      <c r="D740" s="218">
        <v>0</v>
      </c>
      <c r="E740" s="218">
        <v>0</v>
      </c>
      <c r="F740" s="217" t="str">
        <f t="shared" si="11"/>
        <v>-</v>
      </c>
      <c r="G740" s="13"/>
    </row>
    <row r="741" spans="1:7" ht="14.1" customHeight="1" x14ac:dyDescent="0.25">
      <c r="A741" s="214">
        <v>38624</v>
      </c>
      <c r="B741" s="215" t="s">
        <v>3427</v>
      </c>
      <c r="C741" s="321">
        <v>727</v>
      </c>
      <c r="D741" s="218">
        <v>0</v>
      </c>
      <c r="E741" s="218">
        <v>0</v>
      </c>
      <c r="F741" s="217" t="str">
        <f t="shared" si="11"/>
        <v>-</v>
      </c>
      <c r="G741" s="13"/>
    </row>
    <row r="742" spans="1:7" ht="14.1" customHeight="1" x14ac:dyDescent="0.25">
      <c r="A742" s="214">
        <v>38625</v>
      </c>
      <c r="B742" s="215" t="s">
        <v>2370</v>
      </c>
      <c r="C742" s="321">
        <v>728</v>
      </c>
      <c r="D742" s="218">
        <v>0</v>
      </c>
      <c r="E742" s="218">
        <v>0</v>
      </c>
      <c r="F742" s="217" t="str">
        <f t="shared" si="11"/>
        <v>-</v>
      </c>
      <c r="G742" s="13"/>
    </row>
    <row r="743" spans="1:7" ht="14.1" customHeight="1" x14ac:dyDescent="0.25">
      <c r="A743" s="214">
        <v>38631</v>
      </c>
      <c r="B743" s="215" t="s">
        <v>341</v>
      </c>
      <c r="C743" s="321">
        <v>729</v>
      </c>
      <c r="D743" s="218">
        <v>0</v>
      </c>
      <c r="E743" s="218">
        <v>0</v>
      </c>
      <c r="F743" s="217" t="str">
        <f t="shared" si="11"/>
        <v>-</v>
      </c>
      <c r="G743" s="13"/>
    </row>
    <row r="744" spans="1:7" ht="14.1" customHeight="1" x14ac:dyDescent="0.25">
      <c r="A744" s="214">
        <v>38632</v>
      </c>
      <c r="B744" s="215" t="s">
        <v>2371</v>
      </c>
      <c r="C744" s="321">
        <v>730</v>
      </c>
      <c r="D744" s="218">
        <v>0</v>
      </c>
      <c r="E744" s="218">
        <v>0</v>
      </c>
      <c r="F744" s="217" t="str">
        <f t="shared" si="11"/>
        <v>-</v>
      </c>
      <c r="G744" s="13"/>
    </row>
    <row r="745" spans="1:7" ht="14.1" customHeight="1" x14ac:dyDescent="0.25">
      <c r="A745" s="214">
        <v>41</v>
      </c>
      <c r="B745" s="215" t="s">
        <v>2372</v>
      </c>
      <c r="C745" s="321">
        <v>731</v>
      </c>
      <c r="D745" s="218">
        <v>38700</v>
      </c>
      <c r="E745" s="218">
        <v>69413</v>
      </c>
      <c r="F745" s="217">
        <f t="shared" si="11"/>
        <v>179.36175710594316</v>
      </c>
      <c r="G745" s="13"/>
    </row>
    <row r="746" spans="1:7" ht="14.1" customHeight="1" x14ac:dyDescent="0.25">
      <c r="A746" s="214">
        <v>41</v>
      </c>
      <c r="B746" s="215" t="s">
        <v>2373</v>
      </c>
      <c r="C746" s="321">
        <v>732</v>
      </c>
      <c r="D746" s="218">
        <v>0</v>
      </c>
      <c r="E746" s="218">
        <v>0</v>
      </c>
      <c r="F746" s="217" t="str">
        <f t="shared" si="11"/>
        <v>-</v>
      </c>
      <c r="G746" s="13"/>
    </row>
    <row r="747" spans="1:7" ht="14.1" customHeight="1" x14ac:dyDescent="0.25">
      <c r="A747" s="214">
        <v>42</v>
      </c>
      <c r="B747" s="215" t="s">
        <v>1282</v>
      </c>
      <c r="C747" s="321">
        <v>733</v>
      </c>
      <c r="D747" s="218">
        <v>19535</v>
      </c>
      <c r="E747" s="218">
        <v>7618</v>
      </c>
      <c r="F747" s="217">
        <f t="shared" si="11"/>
        <v>38.99667263885334</v>
      </c>
      <c r="G747" s="13"/>
    </row>
    <row r="748" spans="1:7" ht="14.1" customHeight="1" x14ac:dyDescent="0.25">
      <c r="A748" s="214">
        <v>42</v>
      </c>
      <c r="B748" s="215" t="s">
        <v>1283</v>
      </c>
      <c r="C748" s="321">
        <v>734</v>
      </c>
      <c r="D748" s="218">
        <v>0</v>
      </c>
      <c r="E748" s="218">
        <v>0</v>
      </c>
      <c r="F748" s="217" t="str">
        <f t="shared" si="11"/>
        <v>-</v>
      </c>
      <c r="G748" s="13"/>
    </row>
    <row r="749" spans="1:7" ht="14.1" customHeight="1" x14ac:dyDescent="0.25">
      <c r="A749" s="214">
        <v>45</v>
      </c>
      <c r="B749" s="215" t="s">
        <v>1284</v>
      </c>
      <c r="C749" s="321">
        <v>735</v>
      </c>
      <c r="D749" s="218">
        <v>0</v>
      </c>
      <c r="E749" s="218">
        <v>0</v>
      </c>
      <c r="F749" s="217" t="str">
        <f t="shared" si="11"/>
        <v>-</v>
      </c>
      <c r="G749" s="13"/>
    </row>
    <row r="750" spans="1:7" ht="14.1" customHeight="1" x14ac:dyDescent="0.25">
      <c r="A750" s="227">
        <v>45</v>
      </c>
      <c r="B750" s="228" t="s">
        <v>1285</v>
      </c>
      <c r="C750" s="323">
        <v>736</v>
      </c>
      <c r="D750" s="229">
        <v>0</v>
      </c>
      <c r="E750" s="229">
        <v>0</v>
      </c>
      <c r="F750" s="230" t="str">
        <f t="shared" si="11"/>
        <v>-</v>
      </c>
      <c r="G750" s="13"/>
    </row>
    <row r="751" spans="1:7" ht="14.1" customHeight="1" x14ac:dyDescent="0.25">
      <c r="A751" s="235"/>
      <c r="B751" s="236" t="s">
        <v>2374</v>
      </c>
      <c r="C751" s="324">
        <v>737</v>
      </c>
      <c r="D751" s="237">
        <f>SUM(D662:D750)</f>
        <v>3005864</v>
      </c>
      <c r="E751" s="237">
        <f>SUM(E662:E750)</f>
        <v>3227293</v>
      </c>
      <c r="F751" s="238">
        <f t="shared" si="11"/>
        <v>107.36656748276036</v>
      </c>
      <c r="G751" s="13"/>
    </row>
    <row r="752" spans="1:7" ht="24.9" customHeight="1" x14ac:dyDescent="0.25">
      <c r="A752" s="239">
        <v>81212</v>
      </c>
      <c r="B752" s="240" t="s">
        <v>1367</v>
      </c>
      <c r="C752" s="326">
        <v>738</v>
      </c>
      <c r="D752" s="241">
        <v>0</v>
      </c>
      <c r="E752" s="241">
        <v>0</v>
      </c>
      <c r="F752" s="242" t="str">
        <f t="shared" si="11"/>
        <v>-</v>
      </c>
      <c r="G752" s="13"/>
    </row>
    <row r="753" spans="1:7" ht="14.1" customHeight="1" x14ac:dyDescent="0.25">
      <c r="A753" s="243">
        <v>81322</v>
      </c>
      <c r="B753" s="244" t="s">
        <v>2825</v>
      </c>
      <c r="C753" s="327">
        <v>739</v>
      </c>
      <c r="D753" s="245">
        <v>0</v>
      </c>
      <c r="E753" s="245">
        <v>0</v>
      </c>
      <c r="F753" s="246" t="str">
        <f t="shared" si="11"/>
        <v>-</v>
      </c>
      <c r="G753" s="13"/>
    </row>
    <row r="754" spans="1:7" ht="14.1" customHeight="1" x14ac:dyDescent="0.25">
      <c r="A754" s="243">
        <v>81332</v>
      </c>
      <c r="B754" s="244" t="s">
        <v>2826</v>
      </c>
      <c r="C754" s="327">
        <v>740</v>
      </c>
      <c r="D754" s="245">
        <v>0</v>
      </c>
      <c r="E754" s="245">
        <v>0</v>
      </c>
      <c r="F754" s="246" t="str">
        <f t="shared" si="11"/>
        <v>-</v>
      </c>
      <c r="G754" s="13"/>
    </row>
    <row r="755" spans="1:7" ht="14.1" customHeight="1" x14ac:dyDescent="0.25">
      <c r="A755" s="243">
        <v>81342</v>
      </c>
      <c r="B755" s="244" t="s">
        <v>2827</v>
      </c>
      <c r="C755" s="327">
        <v>741</v>
      </c>
      <c r="D755" s="245">
        <v>0</v>
      </c>
      <c r="E755" s="245">
        <v>0</v>
      </c>
      <c r="F755" s="246" t="str">
        <f t="shared" si="11"/>
        <v>-</v>
      </c>
      <c r="G755" s="13"/>
    </row>
    <row r="756" spans="1:7" ht="14.1" customHeight="1" x14ac:dyDescent="0.25">
      <c r="A756" s="243">
        <v>81411</v>
      </c>
      <c r="B756" s="244" t="s">
        <v>2828</v>
      </c>
      <c r="C756" s="327">
        <v>742</v>
      </c>
      <c r="D756" s="245">
        <v>0</v>
      </c>
      <c r="E756" s="245">
        <v>0</v>
      </c>
      <c r="F756" s="246" t="str">
        <f t="shared" si="11"/>
        <v>-</v>
      </c>
      <c r="G756" s="13"/>
    </row>
    <row r="757" spans="1:7" ht="14.1" customHeight="1" x14ac:dyDescent="0.25">
      <c r="A757" s="243">
        <v>81412</v>
      </c>
      <c r="B757" s="244" t="s">
        <v>2829</v>
      </c>
      <c r="C757" s="327">
        <v>743</v>
      </c>
      <c r="D757" s="245">
        <v>0</v>
      </c>
      <c r="E757" s="245">
        <v>0</v>
      </c>
      <c r="F757" s="246" t="str">
        <f t="shared" si="11"/>
        <v>-</v>
      </c>
      <c r="G757" s="13"/>
    </row>
    <row r="758" spans="1:7" ht="14.1" customHeight="1" x14ac:dyDescent="0.25">
      <c r="A758" s="243">
        <v>81532</v>
      </c>
      <c r="B758" s="244" t="s">
        <v>2830</v>
      </c>
      <c r="C758" s="327">
        <v>744</v>
      </c>
      <c r="D758" s="245">
        <v>0</v>
      </c>
      <c r="E758" s="245">
        <v>0</v>
      </c>
      <c r="F758" s="246" t="str">
        <f t="shared" si="11"/>
        <v>-</v>
      </c>
      <c r="G758" s="13"/>
    </row>
    <row r="759" spans="1:7" ht="14.1" customHeight="1" x14ac:dyDescent="0.25">
      <c r="A759" s="243">
        <v>81542</v>
      </c>
      <c r="B759" s="247" t="s">
        <v>2831</v>
      </c>
      <c r="C759" s="327">
        <v>745</v>
      </c>
      <c r="D759" s="245">
        <v>0</v>
      </c>
      <c r="E759" s="245">
        <v>0</v>
      </c>
      <c r="F759" s="246" t="str">
        <f t="shared" si="11"/>
        <v>-</v>
      </c>
      <c r="G759" s="13"/>
    </row>
    <row r="760" spans="1:7" ht="24.9" customHeight="1" x14ac:dyDescent="0.25">
      <c r="A760" s="243">
        <v>81552</v>
      </c>
      <c r="B760" s="244" t="s">
        <v>2832</v>
      </c>
      <c r="C760" s="327">
        <v>746</v>
      </c>
      <c r="D760" s="245">
        <v>0</v>
      </c>
      <c r="E760" s="245">
        <v>0</v>
      </c>
      <c r="F760" s="246" t="str">
        <f t="shared" ref="F760:F786" si="12">IF(D760&gt;0,IF(E760/D760&gt;=100,"&gt;&gt;100",E760/D760*100),"-")</f>
        <v>-</v>
      </c>
      <c r="G760" s="13"/>
    </row>
    <row r="761" spans="1:7" ht="14.1" customHeight="1" x14ac:dyDescent="0.25">
      <c r="A761" s="243">
        <v>81631</v>
      </c>
      <c r="B761" s="244" t="s">
        <v>881</v>
      </c>
      <c r="C761" s="327">
        <v>747</v>
      </c>
      <c r="D761" s="245">
        <v>0</v>
      </c>
      <c r="E761" s="245">
        <v>0</v>
      </c>
      <c r="F761" s="246" t="str">
        <f t="shared" si="12"/>
        <v>-</v>
      </c>
      <c r="G761" s="13"/>
    </row>
    <row r="762" spans="1:7" ht="14.1" customHeight="1" x14ac:dyDescent="0.25">
      <c r="A762" s="243">
        <v>81632</v>
      </c>
      <c r="B762" s="244" t="s">
        <v>882</v>
      </c>
      <c r="C762" s="327">
        <v>748</v>
      </c>
      <c r="D762" s="245">
        <v>0</v>
      </c>
      <c r="E762" s="245">
        <v>0</v>
      </c>
      <c r="F762" s="246" t="str">
        <f t="shared" si="12"/>
        <v>-</v>
      </c>
      <c r="G762" s="13"/>
    </row>
    <row r="763" spans="1:7" ht="14.1" customHeight="1" x14ac:dyDescent="0.25">
      <c r="A763" s="243">
        <v>81641</v>
      </c>
      <c r="B763" s="244" t="s">
        <v>883</v>
      </c>
      <c r="C763" s="327">
        <v>749</v>
      </c>
      <c r="D763" s="245">
        <v>0</v>
      </c>
      <c r="E763" s="245">
        <v>0</v>
      </c>
      <c r="F763" s="246" t="str">
        <f t="shared" si="12"/>
        <v>-</v>
      </c>
      <c r="G763" s="13"/>
    </row>
    <row r="764" spans="1:7" ht="14.1" customHeight="1" x14ac:dyDescent="0.25">
      <c r="A764" s="243">
        <v>81642</v>
      </c>
      <c r="B764" s="244" t="s">
        <v>884</v>
      </c>
      <c r="C764" s="327">
        <v>750</v>
      </c>
      <c r="D764" s="245">
        <v>0</v>
      </c>
      <c r="E764" s="245">
        <v>0</v>
      </c>
      <c r="F764" s="246" t="str">
        <f t="shared" si="12"/>
        <v>-</v>
      </c>
      <c r="G764" s="13"/>
    </row>
    <row r="765" spans="1:7" ht="14.1" customHeight="1" x14ac:dyDescent="0.25">
      <c r="A765" s="243">
        <v>81711</v>
      </c>
      <c r="B765" s="244" t="s">
        <v>885</v>
      </c>
      <c r="C765" s="327">
        <v>751</v>
      </c>
      <c r="D765" s="245">
        <v>0</v>
      </c>
      <c r="E765" s="245">
        <v>0</v>
      </c>
      <c r="F765" s="246" t="str">
        <f t="shared" si="12"/>
        <v>-</v>
      </c>
      <c r="G765" s="13"/>
    </row>
    <row r="766" spans="1:7" ht="14.1" customHeight="1" x14ac:dyDescent="0.25">
      <c r="A766" s="243">
        <v>81712</v>
      </c>
      <c r="B766" s="244" t="s">
        <v>886</v>
      </c>
      <c r="C766" s="327">
        <v>752</v>
      </c>
      <c r="D766" s="245">
        <v>0</v>
      </c>
      <c r="E766" s="245">
        <v>0</v>
      </c>
      <c r="F766" s="246" t="str">
        <f t="shared" si="12"/>
        <v>-</v>
      </c>
      <c r="G766" s="13"/>
    </row>
    <row r="767" spans="1:7" ht="14.1" customHeight="1" x14ac:dyDescent="0.25">
      <c r="A767" s="243">
        <v>81721</v>
      </c>
      <c r="B767" s="244" t="s">
        <v>1057</v>
      </c>
      <c r="C767" s="327">
        <v>753</v>
      </c>
      <c r="D767" s="245">
        <v>0</v>
      </c>
      <c r="E767" s="245">
        <v>0</v>
      </c>
      <c r="F767" s="246" t="str">
        <f t="shared" si="12"/>
        <v>-</v>
      </c>
      <c r="G767" s="13"/>
    </row>
    <row r="768" spans="1:7" ht="14.1" customHeight="1" x14ac:dyDescent="0.25">
      <c r="A768" s="243">
        <v>81722</v>
      </c>
      <c r="B768" s="244" t="s">
        <v>1058</v>
      </c>
      <c r="C768" s="327">
        <v>754</v>
      </c>
      <c r="D768" s="245">
        <v>0</v>
      </c>
      <c r="E768" s="245">
        <v>0</v>
      </c>
      <c r="F768" s="246" t="str">
        <f t="shared" si="12"/>
        <v>-</v>
      </c>
      <c r="G768" s="13"/>
    </row>
    <row r="769" spans="1:7" ht="14.1" customHeight="1" x14ac:dyDescent="0.25">
      <c r="A769" s="243">
        <v>81731</v>
      </c>
      <c r="B769" s="244" t="s">
        <v>1059</v>
      </c>
      <c r="C769" s="327">
        <v>755</v>
      </c>
      <c r="D769" s="245">
        <v>0</v>
      </c>
      <c r="E769" s="245">
        <v>0</v>
      </c>
      <c r="F769" s="246" t="str">
        <f t="shared" si="12"/>
        <v>-</v>
      </c>
      <c r="G769" s="13"/>
    </row>
    <row r="770" spans="1:7" ht="14.1" customHeight="1" x14ac:dyDescent="0.25">
      <c r="A770" s="243">
        <v>81732</v>
      </c>
      <c r="B770" s="244" t="s">
        <v>1060</v>
      </c>
      <c r="C770" s="327">
        <v>756</v>
      </c>
      <c r="D770" s="245">
        <v>0</v>
      </c>
      <c r="E770" s="245">
        <v>0</v>
      </c>
      <c r="F770" s="246" t="str">
        <f t="shared" si="12"/>
        <v>-</v>
      </c>
      <c r="G770" s="13"/>
    </row>
    <row r="771" spans="1:7" ht="14.1" customHeight="1" x14ac:dyDescent="0.25">
      <c r="A771" s="243">
        <v>81741</v>
      </c>
      <c r="B771" s="244" t="s">
        <v>1061</v>
      </c>
      <c r="C771" s="327">
        <v>757</v>
      </c>
      <c r="D771" s="245">
        <v>0</v>
      </c>
      <c r="E771" s="245">
        <v>0</v>
      </c>
      <c r="F771" s="246" t="str">
        <f t="shared" si="12"/>
        <v>-</v>
      </c>
      <c r="G771" s="13"/>
    </row>
    <row r="772" spans="1:7" ht="14.1" customHeight="1" x14ac:dyDescent="0.25">
      <c r="A772" s="243">
        <v>81742</v>
      </c>
      <c r="B772" s="244" t="s">
        <v>1062</v>
      </c>
      <c r="C772" s="327">
        <v>758</v>
      </c>
      <c r="D772" s="245">
        <v>0</v>
      </c>
      <c r="E772" s="245">
        <v>0</v>
      </c>
      <c r="F772" s="246" t="str">
        <f t="shared" si="12"/>
        <v>-</v>
      </c>
      <c r="G772" s="13"/>
    </row>
    <row r="773" spans="1:7" ht="14.1" customHeight="1" x14ac:dyDescent="0.25">
      <c r="A773" s="243">
        <v>81751</v>
      </c>
      <c r="B773" s="244" t="s">
        <v>1063</v>
      </c>
      <c r="C773" s="327">
        <v>759</v>
      </c>
      <c r="D773" s="245">
        <v>0</v>
      </c>
      <c r="E773" s="245">
        <v>0</v>
      </c>
      <c r="F773" s="246" t="str">
        <f t="shared" si="12"/>
        <v>-</v>
      </c>
      <c r="G773" s="13"/>
    </row>
    <row r="774" spans="1:7" ht="14.1" customHeight="1" x14ac:dyDescent="0.25">
      <c r="A774" s="243">
        <v>81752</v>
      </c>
      <c r="B774" s="244" t="s">
        <v>1064</v>
      </c>
      <c r="C774" s="327">
        <v>760</v>
      </c>
      <c r="D774" s="245">
        <v>0</v>
      </c>
      <c r="E774" s="245">
        <v>0</v>
      </c>
      <c r="F774" s="246" t="str">
        <f t="shared" si="12"/>
        <v>-</v>
      </c>
      <c r="G774" s="13"/>
    </row>
    <row r="775" spans="1:7" ht="14.1" customHeight="1" x14ac:dyDescent="0.25">
      <c r="A775" s="243">
        <v>81761</v>
      </c>
      <c r="B775" s="247" t="s">
        <v>1065</v>
      </c>
      <c r="C775" s="327">
        <v>761</v>
      </c>
      <c r="D775" s="245">
        <v>0</v>
      </c>
      <c r="E775" s="245">
        <v>0</v>
      </c>
      <c r="F775" s="246" t="str">
        <f t="shared" si="12"/>
        <v>-</v>
      </c>
      <c r="G775" s="13"/>
    </row>
    <row r="776" spans="1:7" ht="14.1" customHeight="1" x14ac:dyDescent="0.25">
      <c r="A776" s="243">
        <v>81762</v>
      </c>
      <c r="B776" s="247" t="s">
        <v>1066</v>
      </c>
      <c r="C776" s="327">
        <v>762</v>
      </c>
      <c r="D776" s="245">
        <v>0</v>
      </c>
      <c r="E776" s="245">
        <v>0</v>
      </c>
      <c r="F776" s="246" t="str">
        <f t="shared" si="12"/>
        <v>-</v>
      </c>
      <c r="G776" s="13"/>
    </row>
    <row r="777" spans="1:7" ht="24.9" customHeight="1" x14ac:dyDescent="0.25">
      <c r="A777" s="243">
        <v>81771</v>
      </c>
      <c r="B777" s="244" t="s">
        <v>4116</v>
      </c>
      <c r="C777" s="327">
        <v>763</v>
      </c>
      <c r="D777" s="245">
        <v>0</v>
      </c>
      <c r="E777" s="245">
        <v>0</v>
      </c>
      <c r="F777" s="246" t="str">
        <f t="shared" si="12"/>
        <v>-</v>
      </c>
      <c r="G777" s="13"/>
    </row>
    <row r="778" spans="1:7" ht="24.9" customHeight="1" x14ac:dyDescent="0.25">
      <c r="A778" s="243">
        <v>81772</v>
      </c>
      <c r="B778" s="244" t="s">
        <v>4117</v>
      </c>
      <c r="C778" s="327">
        <v>764</v>
      </c>
      <c r="D778" s="245">
        <v>0</v>
      </c>
      <c r="E778" s="245">
        <v>0</v>
      </c>
      <c r="F778" s="246" t="str">
        <f t="shared" si="12"/>
        <v>-</v>
      </c>
      <c r="G778" s="13"/>
    </row>
    <row r="779" spans="1:7" ht="14.1" customHeight="1" x14ac:dyDescent="0.25">
      <c r="A779" s="243">
        <v>82412</v>
      </c>
      <c r="B779" s="244" t="s">
        <v>4118</v>
      </c>
      <c r="C779" s="327">
        <v>765</v>
      </c>
      <c r="D779" s="245">
        <v>0</v>
      </c>
      <c r="E779" s="245">
        <v>0</v>
      </c>
      <c r="F779" s="246" t="str">
        <f t="shared" si="12"/>
        <v>-</v>
      </c>
      <c r="G779" s="13"/>
    </row>
    <row r="780" spans="1:7" ht="14.1" customHeight="1" x14ac:dyDescent="0.25">
      <c r="A780" s="243">
        <v>84132</v>
      </c>
      <c r="B780" s="244" t="s">
        <v>4008</v>
      </c>
      <c r="C780" s="327">
        <v>766</v>
      </c>
      <c r="D780" s="245">
        <v>0</v>
      </c>
      <c r="E780" s="245">
        <v>0</v>
      </c>
      <c r="F780" s="246" t="str">
        <f t="shared" si="12"/>
        <v>-</v>
      </c>
      <c r="G780" s="13"/>
    </row>
    <row r="781" spans="1:7" ht="14.1" customHeight="1" x14ac:dyDescent="0.25">
      <c r="A781" s="243">
        <v>84142</v>
      </c>
      <c r="B781" s="244" t="s">
        <v>2472</v>
      </c>
      <c r="C781" s="327">
        <v>767</v>
      </c>
      <c r="D781" s="245">
        <v>0</v>
      </c>
      <c r="E781" s="245">
        <v>0</v>
      </c>
      <c r="F781" s="246" t="str">
        <f t="shared" si="12"/>
        <v>-</v>
      </c>
      <c r="G781" s="13"/>
    </row>
    <row r="782" spans="1:7" ht="14.1" customHeight="1" x14ac:dyDescent="0.25">
      <c r="A782" s="243">
        <v>84152</v>
      </c>
      <c r="B782" s="244" t="s">
        <v>2473</v>
      </c>
      <c r="C782" s="327">
        <v>768</v>
      </c>
      <c r="D782" s="245">
        <v>0</v>
      </c>
      <c r="E782" s="245">
        <v>0</v>
      </c>
      <c r="F782" s="246" t="str">
        <f t="shared" si="12"/>
        <v>-</v>
      </c>
      <c r="G782" s="13"/>
    </row>
    <row r="783" spans="1:7" ht="14.1" customHeight="1" x14ac:dyDescent="0.25">
      <c r="A783" s="243">
        <v>84162</v>
      </c>
      <c r="B783" s="244" t="s">
        <v>2474</v>
      </c>
      <c r="C783" s="327">
        <v>769</v>
      </c>
      <c r="D783" s="245">
        <v>0</v>
      </c>
      <c r="E783" s="245">
        <v>0</v>
      </c>
      <c r="F783" s="246" t="str">
        <f t="shared" si="12"/>
        <v>-</v>
      </c>
      <c r="G783" s="13"/>
    </row>
    <row r="784" spans="1:7" ht="14.1" customHeight="1" x14ac:dyDescent="0.25">
      <c r="A784" s="243">
        <v>84221</v>
      </c>
      <c r="B784" s="244" t="s">
        <v>2475</v>
      </c>
      <c r="C784" s="327">
        <v>770</v>
      </c>
      <c r="D784" s="245">
        <v>0</v>
      </c>
      <c r="E784" s="245">
        <v>0</v>
      </c>
      <c r="F784" s="246" t="str">
        <f t="shared" si="12"/>
        <v>-</v>
      </c>
      <c r="G784" s="13"/>
    </row>
    <row r="785" spans="1:7" ht="14.1" customHeight="1" x14ac:dyDescent="0.25">
      <c r="A785" s="243">
        <v>84222</v>
      </c>
      <c r="B785" s="244" t="s">
        <v>2476</v>
      </c>
      <c r="C785" s="327">
        <v>771</v>
      </c>
      <c r="D785" s="245">
        <v>0</v>
      </c>
      <c r="E785" s="245">
        <v>0</v>
      </c>
      <c r="F785" s="246" t="str">
        <f t="shared" si="12"/>
        <v>-</v>
      </c>
      <c r="G785" s="13"/>
    </row>
    <row r="786" spans="1:7" ht="14.1" customHeight="1" x14ac:dyDescent="0.25">
      <c r="A786" s="243">
        <v>84232</v>
      </c>
      <c r="B786" s="244" t="s">
        <v>2477</v>
      </c>
      <c r="C786" s="327">
        <v>772</v>
      </c>
      <c r="D786" s="245">
        <v>0</v>
      </c>
      <c r="E786" s="245">
        <v>0</v>
      </c>
      <c r="F786" s="246" t="str">
        <f t="shared" si="12"/>
        <v>-</v>
      </c>
      <c r="G786" s="13"/>
    </row>
    <row r="787" spans="1:7" ht="14.1" customHeight="1" x14ac:dyDescent="0.25">
      <c r="A787" s="243">
        <v>84242</v>
      </c>
      <c r="B787" s="244" t="s">
        <v>2478</v>
      </c>
      <c r="C787" s="327">
        <v>773</v>
      </c>
      <c r="D787" s="245">
        <v>0</v>
      </c>
      <c r="E787" s="245">
        <v>0</v>
      </c>
      <c r="F787" s="246" t="str">
        <f t="shared" ref="F787:F850" si="13">IF(D787&gt;0,IF(E787/D787&gt;=100,"&gt;&gt;100",E787/D787*100),"-")</f>
        <v>-</v>
      </c>
      <c r="G787" s="13"/>
    </row>
    <row r="788" spans="1:7" ht="14.1" customHeight="1" x14ac:dyDescent="0.25">
      <c r="A788" s="243">
        <v>84312</v>
      </c>
      <c r="B788" s="244" t="s">
        <v>2479</v>
      </c>
      <c r="C788" s="327">
        <v>774</v>
      </c>
      <c r="D788" s="245">
        <v>0</v>
      </c>
      <c r="E788" s="245">
        <v>0</v>
      </c>
      <c r="F788" s="246" t="str">
        <f t="shared" si="13"/>
        <v>-</v>
      </c>
      <c r="G788" s="13"/>
    </row>
    <row r="789" spans="1:7" ht="14.1" customHeight="1" x14ac:dyDescent="0.25">
      <c r="A789" s="243">
        <v>84431</v>
      </c>
      <c r="B789" s="244" t="s">
        <v>2480</v>
      </c>
      <c r="C789" s="327">
        <v>775</v>
      </c>
      <c r="D789" s="245">
        <v>0</v>
      </c>
      <c r="E789" s="245">
        <v>0</v>
      </c>
      <c r="F789" s="246" t="str">
        <f t="shared" si="13"/>
        <v>-</v>
      </c>
      <c r="G789" s="13"/>
    </row>
    <row r="790" spans="1:7" ht="14.1" customHeight="1" x14ac:dyDescent="0.25">
      <c r="A790" s="243">
        <v>84432</v>
      </c>
      <c r="B790" s="244" t="s">
        <v>2481</v>
      </c>
      <c r="C790" s="327">
        <v>776</v>
      </c>
      <c r="D790" s="245">
        <v>0</v>
      </c>
      <c r="E790" s="245">
        <v>0</v>
      </c>
      <c r="F790" s="246" t="str">
        <f t="shared" si="13"/>
        <v>-</v>
      </c>
      <c r="G790" s="13"/>
    </row>
    <row r="791" spans="1:7" ht="14.1" customHeight="1" x14ac:dyDescent="0.25">
      <c r="A791" s="243">
        <v>84442</v>
      </c>
      <c r="B791" s="244" t="s">
        <v>2482</v>
      </c>
      <c r="C791" s="327">
        <v>777</v>
      </c>
      <c r="D791" s="245">
        <v>0</v>
      </c>
      <c r="E791" s="245">
        <v>0</v>
      </c>
      <c r="F791" s="246" t="str">
        <f t="shared" si="13"/>
        <v>-</v>
      </c>
      <c r="G791" s="13"/>
    </row>
    <row r="792" spans="1:7" ht="14.1" customHeight="1" x14ac:dyDescent="0.25">
      <c r="A792" s="243">
        <v>84452</v>
      </c>
      <c r="B792" s="247" t="s">
        <v>2483</v>
      </c>
      <c r="C792" s="327">
        <v>778</v>
      </c>
      <c r="D792" s="245">
        <v>0</v>
      </c>
      <c r="E792" s="245">
        <v>0</v>
      </c>
      <c r="F792" s="246" t="str">
        <f t="shared" si="13"/>
        <v>-</v>
      </c>
      <c r="G792" s="13"/>
    </row>
    <row r="793" spans="1:7" ht="14.1" customHeight="1" x14ac:dyDescent="0.25">
      <c r="A793" s="243">
        <v>84461</v>
      </c>
      <c r="B793" s="244" t="s">
        <v>2484</v>
      </c>
      <c r="C793" s="327">
        <v>779</v>
      </c>
      <c r="D793" s="245">
        <v>0</v>
      </c>
      <c r="E793" s="245">
        <v>0</v>
      </c>
      <c r="F793" s="246" t="str">
        <f t="shared" si="13"/>
        <v>-</v>
      </c>
      <c r="G793" s="13"/>
    </row>
    <row r="794" spans="1:7" ht="14.1" customHeight="1" x14ac:dyDescent="0.25">
      <c r="A794" s="243">
        <v>84462</v>
      </c>
      <c r="B794" s="244" t="s">
        <v>2485</v>
      </c>
      <c r="C794" s="327">
        <v>780</v>
      </c>
      <c r="D794" s="245">
        <v>0</v>
      </c>
      <c r="E794" s="245">
        <v>0</v>
      </c>
      <c r="F794" s="246" t="str">
        <f t="shared" si="13"/>
        <v>-</v>
      </c>
      <c r="G794" s="13"/>
    </row>
    <row r="795" spans="1:7" ht="14.1" customHeight="1" x14ac:dyDescent="0.25">
      <c r="A795" s="243">
        <v>84472</v>
      </c>
      <c r="B795" s="244" t="s">
        <v>2486</v>
      </c>
      <c r="C795" s="327">
        <v>781</v>
      </c>
      <c r="D795" s="245">
        <v>0</v>
      </c>
      <c r="E795" s="245">
        <v>0</v>
      </c>
      <c r="F795" s="246" t="str">
        <f t="shared" si="13"/>
        <v>-</v>
      </c>
      <c r="G795" s="13"/>
    </row>
    <row r="796" spans="1:7" ht="14.1" customHeight="1" x14ac:dyDescent="0.25">
      <c r="A796" s="243">
        <v>84482</v>
      </c>
      <c r="B796" s="244" t="s">
        <v>2487</v>
      </c>
      <c r="C796" s="327">
        <v>782</v>
      </c>
      <c r="D796" s="245">
        <v>0</v>
      </c>
      <c r="E796" s="245">
        <v>0</v>
      </c>
      <c r="F796" s="246" t="str">
        <f t="shared" si="13"/>
        <v>-</v>
      </c>
      <c r="G796" s="13"/>
    </row>
    <row r="797" spans="1:7" ht="14.1" customHeight="1" x14ac:dyDescent="0.25">
      <c r="A797" s="243">
        <v>84532</v>
      </c>
      <c r="B797" s="244" t="s">
        <v>2488</v>
      </c>
      <c r="C797" s="327">
        <v>783</v>
      </c>
      <c r="D797" s="245">
        <v>0</v>
      </c>
      <c r="E797" s="245">
        <v>0</v>
      </c>
      <c r="F797" s="246" t="str">
        <f t="shared" si="13"/>
        <v>-</v>
      </c>
      <c r="G797" s="13"/>
    </row>
    <row r="798" spans="1:7" ht="14.1" customHeight="1" x14ac:dyDescent="0.25">
      <c r="A798" s="243">
        <v>84542</v>
      </c>
      <c r="B798" s="244" t="s">
        <v>4149</v>
      </c>
      <c r="C798" s="327">
        <v>784</v>
      </c>
      <c r="D798" s="245">
        <v>0</v>
      </c>
      <c r="E798" s="245">
        <v>0</v>
      </c>
      <c r="F798" s="246" t="str">
        <f t="shared" si="13"/>
        <v>-</v>
      </c>
      <c r="G798" s="13"/>
    </row>
    <row r="799" spans="1:7" ht="14.1" customHeight="1" x14ac:dyDescent="0.25">
      <c r="A799" s="243">
        <v>84552</v>
      </c>
      <c r="B799" s="244" t="s">
        <v>2489</v>
      </c>
      <c r="C799" s="327">
        <v>785</v>
      </c>
      <c r="D799" s="245">
        <v>0</v>
      </c>
      <c r="E799" s="245">
        <v>0</v>
      </c>
      <c r="F799" s="246" t="str">
        <f t="shared" si="13"/>
        <v>-</v>
      </c>
      <c r="G799" s="13"/>
    </row>
    <row r="800" spans="1:7" ht="14.1" customHeight="1" x14ac:dyDescent="0.25">
      <c r="A800" s="243">
        <v>84711</v>
      </c>
      <c r="B800" s="244" t="s">
        <v>2490</v>
      </c>
      <c r="C800" s="327">
        <v>786</v>
      </c>
      <c r="D800" s="245">
        <v>0</v>
      </c>
      <c r="E800" s="245">
        <v>0</v>
      </c>
      <c r="F800" s="246" t="str">
        <f t="shared" si="13"/>
        <v>-</v>
      </c>
      <c r="G800" s="13"/>
    </row>
    <row r="801" spans="1:7" ht="14.1" customHeight="1" x14ac:dyDescent="0.25">
      <c r="A801" s="243">
        <v>84712</v>
      </c>
      <c r="B801" s="244" t="s">
        <v>2491</v>
      </c>
      <c r="C801" s="327">
        <v>787</v>
      </c>
      <c r="D801" s="245">
        <v>0</v>
      </c>
      <c r="E801" s="245">
        <v>0</v>
      </c>
      <c r="F801" s="246" t="str">
        <f t="shared" si="13"/>
        <v>-</v>
      </c>
      <c r="G801" s="13"/>
    </row>
    <row r="802" spans="1:7" ht="14.1" customHeight="1" x14ac:dyDescent="0.25">
      <c r="A802" s="243">
        <v>84721</v>
      </c>
      <c r="B802" s="244" t="s">
        <v>2492</v>
      </c>
      <c r="C802" s="327">
        <v>788</v>
      </c>
      <c r="D802" s="245">
        <v>0</v>
      </c>
      <c r="E802" s="245">
        <v>0</v>
      </c>
      <c r="F802" s="246" t="str">
        <f t="shared" si="13"/>
        <v>-</v>
      </c>
      <c r="G802" s="13"/>
    </row>
    <row r="803" spans="1:7" ht="14.1" customHeight="1" x14ac:dyDescent="0.25">
      <c r="A803" s="243">
        <v>84722</v>
      </c>
      <c r="B803" s="244" t="s">
        <v>2493</v>
      </c>
      <c r="C803" s="327">
        <v>789</v>
      </c>
      <c r="D803" s="245">
        <v>0</v>
      </c>
      <c r="E803" s="245">
        <v>0</v>
      </c>
      <c r="F803" s="246" t="str">
        <f t="shared" si="13"/>
        <v>-</v>
      </c>
      <c r="G803" s="13"/>
    </row>
    <row r="804" spans="1:7" ht="14.1" customHeight="1" x14ac:dyDescent="0.25">
      <c r="A804" s="243">
        <v>84731</v>
      </c>
      <c r="B804" s="244" t="s">
        <v>2494</v>
      </c>
      <c r="C804" s="327">
        <v>790</v>
      </c>
      <c r="D804" s="245">
        <v>0</v>
      </c>
      <c r="E804" s="245">
        <v>0</v>
      </c>
      <c r="F804" s="246" t="str">
        <f t="shared" si="13"/>
        <v>-</v>
      </c>
      <c r="G804" s="13"/>
    </row>
    <row r="805" spans="1:7" ht="14.1" customHeight="1" x14ac:dyDescent="0.25">
      <c r="A805" s="243">
        <v>84732</v>
      </c>
      <c r="B805" s="244" t="s">
        <v>2495</v>
      </c>
      <c r="C805" s="327">
        <v>791</v>
      </c>
      <c r="D805" s="245">
        <v>0</v>
      </c>
      <c r="E805" s="245">
        <v>0</v>
      </c>
      <c r="F805" s="246" t="str">
        <f t="shared" si="13"/>
        <v>-</v>
      </c>
      <c r="G805" s="13"/>
    </row>
    <row r="806" spans="1:7" ht="14.1" customHeight="1" x14ac:dyDescent="0.25">
      <c r="A806" s="243">
        <v>84741</v>
      </c>
      <c r="B806" s="244" t="s">
        <v>3637</v>
      </c>
      <c r="C806" s="327">
        <v>792</v>
      </c>
      <c r="D806" s="245">
        <v>0</v>
      </c>
      <c r="E806" s="245">
        <v>0</v>
      </c>
      <c r="F806" s="246" t="str">
        <f t="shared" si="13"/>
        <v>-</v>
      </c>
      <c r="G806" s="13"/>
    </row>
    <row r="807" spans="1:7" ht="14.1" customHeight="1" x14ac:dyDescent="0.25">
      <c r="A807" s="243">
        <v>84742</v>
      </c>
      <c r="B807" s="244" t="s">
        <v>3638</v>
      </c>
      <c r="C807" s="327">
        <v>793</v>
      </c>
      <c r="D807" s="245">
        <v>0</v>
      </c>
      <c r="E807" s="245">
        <v>0</v>
      </c>
      <c r="F807" s="246" t="str">
        <f t="shared" si="13"/>
        <v>-</v>
      </c>
      <c r="G807" s="13"/>
    </row>
    <row r="808" spans="1:7" ht="14.1" customHeight="1" x14ac:dyDescent="0.25">
      <c r="A808" s="243">
        <v>84751</v>
      </c>
      <c r="B808" s="244" t="s">
        <v>3773</v>
      </c>
      <c r="C808" s="327">
        <v>794</v>
      </c>
      <c r="D808" s="245">
        <v>0</v>
      </c>
      <c r="E808" s="245">
        <v>0</v>
      </c>
      <c r="F808" s="246" t="str">
        <f t="shared" si="13"/>
        <v>-</v>
      </c>
      <c r="G808" s="13"/>
    </row>
    <row r="809" spans="1:7" ht="14.1" customHeight="1" x14ac:dyDescent="0.25">
      <c r="A809" s="243">
        <v>84752</v>
      </c>
      <c r="B809" s="244" t="s">
        <v>3480</v>
      </c>
      <c r="C809" s="327">
        <v>795</v>
      </c>
      <c r="D809" s="245">
        <v>0</v>
      </c>
      <c r="E809" s="245">
        <v>0</v>
      </c>
      <c r="F809" s="246" t="str">
        <f t="shared" si="13"/>
        <v>-</v>
      </c>
      <c r="G809" s="13"/>
    </row>
    <row r="810" spans="1:7" ht="14.1" customHeight="1" x14ac:dyDescent="0.25">
      <c r="A810" s="243">
        <v>84761</v>
      </c>
      <c r="B810" s="244" t="s">
        <v>3481</v>
      </c>
      <c r="C810" s="327">
        <v>796</v>
      </c>
      <c r="D810" s="245">
        <v>0</v>
      </c>
      <c r="E810" s="245">
        <v>0</v>
      </c>
      <c r="F810" s="246" t="str">
        <f t="shared" si="13"/>
        <v>-</v>
      </c>
      <c r="G810" s="13"/>
    </row>
    <row r="811" spans="1:7" ht="14.1" customHeight="1" x14ac:dyDescent="0.25">
      <c r="A811" s="243">
        <v>84762</v>
      </c>
      <c r="B811" s="244" t="s">
        <v>3482</v>
      </c>
      <c r="C811" s="327">
        <v>797</v>
      </c>
      <c r="D811" s="245">
        <v>0</v>
      </c>
      <c r="E811" s="245">
        <v>0</v>
      </c>
      <c r="F811" s="246" t="str">
        <f t="shared" si="13"/>
        <v>-</v>
      </c>
      <c r="G811" s="13"/>
    </row>
    <row r="812" spans="1:7" ht="14.1" customHeight="1" x14ac:dyDescent="0.25">
      <c r="A812" s="248">
        <v>85412</v>
      </c>
      <c r="B812" s="249" t="s">
        <v>3483</v>
      </c>
      <c r="C812" s="328">
        <v>798</v>
      </c>
      <c r="D812" s="250">
        <v>0</v>
      </c>
      <c r="E812" s="250">
        <v>0</v>
      </c>
      <c r="F812" s="251" t="str">
        <f t="shared" si="13"/>
        <v>-</v>
      </c>
      <c r="G812" s="13"/>
    </row>
    <row r="813" spans="1:7" ht="14.1" customHeight="1" x14ac:dyDescent="0.25">
      <c r="A813" s="235"/>
      <c r="B813" s="236" t="s">
        <v>3484</v>
      </c>
      <c r="C813" s="324">
        <v>799</v>
      </c>
      <c r="D813" s="237">
        <f>SUM(D752:D812)</f>
        <v>0</v>
      </c>
      <c r="E813" s="237">
        <f>SUM(E752:E812)</f>
        <v>0</v>
      </c>
      <c r="F813" s="238" t="str">
        <f t="shared" si="13"/>
        <v>-</v>
      </c>
      <c r="G813" s="13"/>
    </row>
    <row r="814" spans="1:7" ht="14.1" customHeight="1" x14ac:dyDescent="0.25">
      <c r="A814" s="239">
        <v>51212</v>
      </c>
      <c r="B814" s="252" t="s">
        <v>3485</v>
      </c>
      <c r="C814" s="326">
        <v>800</v>
      </c>
      <c r="D814" s="241">
        <v>0</v>
      </c>
      <c r="E814" s="241">
        <v>0</v>
      </c>
      <c r="F814" s="242" t="str">
        <f t="shared" si="13"/>
        <v>-</v>
      </c>
      <c r="G814" s="13"/>
    </row>
    <row r="815" spans="1:7" ht="14.1" customHeight="1" x14ac:dyDescent="0.25">
      <c r="A815" s="243">
        <v>51322</v>
      </c>
      <c r="B815" s="244" t="s">
        <v>3486</v>
      </c>
      <c r="C815" s="327">
        <v>801</v>
      </c>
      <c r="D815" s="245">
        <v>0</v>
      </c>
      <c r="E815" s="245">
        <v>0</v>
      </c>
      <c r="F815" s="246" t="str">
        <f t="shared" si="13"/>
        <v>-</v>
      </c>
      <c r="G815" s="13"/>
    </row>
    <row r="816" spans="1:7" ht="14.1" customHeight="1" x14ac:dyDescent="0.25">
      <c r="A816" s="243">
        <v>51332</v>
      </c>
      <c r="B816" s="244" t="s">
        <v>3487</v>
      </c>
      <c r="C816" s="327">
        <v>802</v>
      </c>
      <c r="D816" s="245">
        <v>0</v>
      </c>
      <c r="E816" s="245">
        <v>0</v>
      </c>
      <c r="F816" s="246" t="str">
        <f t="shared" si="13"/>
        <v>-</v>
      </c>
      <c r="G816" s="13"/>
    </row>
    <row r="817" spans="1:7" ht="14.1" customHeight="1" x14ac:dyDescent="0.25">
      <c r="A817" s="243">
        <v>51342</v>
      </c>
      <c r="B817" s="244" t="s">
        <v>3488</v>
      </c>
      <c r="C817" s="327">
        <v>803</v>
      </c>
      <c r="D817" s="245">
        <v>0</v>
      </c>
      <c r="E817" s="245">
        <v>0</v>
      </c>
      <c r="F817" s="246" t="str">
        <f t="shared" si="13"/>
        <v>-</v>
      </c>
      <c r="G817" s="13"/>
    </row>
    <row r="818" spans="1:7" ht="14.1" customHeight="1" x14ac:dyDescent="0.25">
      <c r="A818" s="243">
        <v>51411</v>
      </c>
      <c r="B818" s="244" t="s">
        <v>3489</v>
      </c>
      <c r="C818" s="327">
        <v>804</v>
      </c>
      <c r="D818" s="245">
        <v>0</v>
      </c>
      <c r="E818" s="245">
        <v>0</v>
      </c>
      <c r="F818" s="246" t="str">
        <f t="shared" si="13"/>
        <v>-</v>
      </c>
      <c r="G818" s="13"/>
    </row>
    <row r="819" spans="1:7" ht="14.1" customHeight="1" x14ac:dyDescent="0.25">
      <c r="A819" s="243">
        <v>51412</v>
      </c>
      <c r="B819" s="244" t="s">
        <v>3490</v>
      </c>
      <c r="C819" s="327">
        <v>805</v>
      </c>
      <c r="D819" s="245">
        <v>0</v>
      </c>
      <c r="E819" s="245">
        <v>0</v>
      </c>
      <c r="F819" s="246" t="str">
        <f t="shared" si="13"/>
        <v>-</v>
      </c>
      <c r="G819" s="13"/>
    </row>
    <row r="820" spans="1:7" ht="14.1" customHeight="1" x14ac:dyDescent="0.25">
      <c r="A820" s="243">
        <v>51532</v>
      </c>
      <c r="B820" s="244" t="s">
        <v>3491</v>
      </c>
      <c r="C820" s="327">
        <v>806</v>
      </c>
      <c r="D820" s="245">
        <v>0</v>
      </c>
      <c r="E820" s="245">
        <v>0</v>
      </c>
      <c r="F820" s="246" t="str">
        <f t="shared" si="13"/>
        <v>-</v>
      </c>
      <c r="G820" s="13"/>
    </row>
    <row r="821" spans="1:7" ht="14.1" customHeight="1" x14ac:dyDescent="0.25">
      <c r="A821" s="243">
        <v>51542</v>
      </c>
      <c r="B821" s="244" t="s">
        <v>3492</v>
      </c>
      <c r="C821" s="327">
        <v>807</v>
      </c>
      <c r="D821" s="245">
        <v>0</v>
      </c>
      <c r="E821" s="245">
        <v>0</v>
      </c>
      <c r="F821" s="246" t="str">
        <f t="shared" si="13"/>
        <v>-</v>
      </c>
      <c r="G821" s="13"/>
    </row>
    <row r="822" spans="1:7" ht="14.1" customHeight="1" x14ac:dyDescent="0.25">
      <c r="A822" s="243">
        <v>51552</v>
      </c>
      <c r="B822" s="247" t="s">
        <v>3493</v>
      </c>
      <c r="C822" s="327">
        <v>808</v>
      </c>
      <c r="D822" s="245">
        <v>0</v>
      </c>
      <c r="E822" s="245">
        <v>0</v>
      </c>
      <c r="F822" s="246" t="str">
        <f t="shared" si="13"/>
        <v>-</v>
      </c>
      <c r="G822" s="13"/>
    </row>
    <row r="823" spans="1:7" ht="14.1" customHeight="1" x14ac:dyDescent="0.25">
      <c r="A823" s="243">
        <v>51631</v>
      </c>
      <c r="B823" s="244" t="s">
        <v>3494</v>
      </c>
      <c r="C823" s="327">
        <v>809</v>
      </c>
      <c r="D823" s="245">
        <v>0</v>
      </c>
      <c r="E823" s="245">
        <v>0</v>
      </c>
      <c r="F823" s="246" t="str">
        <f t="shared" si="13"/>
        <v>-</v>
      </c>
      <c r="G823" s="13"/>
    </row>
    <row r="824" spans="1:7" ht="14.1" customHeight="1" x14ac:dyDescent="0.25">
      <c r="A824" s="243">
        <v>51632</v>
      </c>
      <c r="B824" s="244" t="s">
        <v>3495</v>
      </c>
      <c r="C824" s="327">
        <v>810</v>
      </c>
      <c r="D824" s="245">
        <v>0</v>
      </c>
      <c r="E824" s="245">
        <v>0</v>
      </c>
      <c r="F824" s="246" t="str">
        <f t="shared" si="13"/>
        <v>-</v>
      </c>
      <c r="G824" s="13"/>
    </row>
    <row r="825" spans="1:7" ht="14.1" customHeight="1" x14ac:dyDescent="0.25">
      <c r="A825" s="243">
        <v>51641</v>
      </c>
      <c r="B825" s="244" t="s">
        <v>3496</v>
      </c>
      <c r="C825" s="327">
        <v>811</v>
      </c>
      <c r="D825" s="245">
        <v>0</v>
      </c>
      <c r="E825" s="245">
        <v>0</v>
      </c>
      <c r="F825" s="246" t="str">
        <f t="shared" si="13"/>
        <v>-</v>
      </c>
      <c r="G825" s="13"/>
    </row>
    <row r="826" spans="1:7" ht="14.1" customHeight="1" x14ac:dyDescent="0.25">
      <c r="A826" s="243">
        <v>51642</v>
      </c>
      <c r="B826" s="244" t="s">
        <v>3497</v>
      </c>
      <c r="C826" s="327">
        <v>812</v>
      </c>
      <c r="D826" s="245">
        <v>0</v>
      </c>
      <c r="E826" s="245">
        <v>0</v>
      </c>
      <c r="F826" s="246" t="str">
        <f t="shared" si="13"/>
        <v>-</v>
      </c>
      <c r="G826" s="13"/>
    </row>
    <row r="827" spans="1:7" ht="14.1" customHeight="1" x14ac:dyDescent="0.25">
      <c r="A827" s="243">
        <v>51711</v>
      </c>
      <c r="B827" s="244" t="s">
        <v>3498</v>
      </c>
      <c r="C827" s="327">
        <v>813</v>
      </c>
      <c r="D827" s="245">
        <v>0</v>
      </c>
      <c r="E827" s="245">
        <v>0</v>
      </c>
      <c r="F827" s="246" t="str">
        <f t="shared" si="13"/>
        <v>-</v>
      </c>
      <c r="G827" s="13"/>
    </row>
    <row r="828" spans="1:7" ht="14.1" customHeight="1" x14ac:dyDescent="0.25">
      <c r="A828" s="243">
        <v>51712</v>
      </c>
      <c r="B828" s="244" t="s">
        <v>3499</v>
      </c>
      <c r="C828" s="327">
        <v>814</v>
      </c>
      <c r="D828" s="245">
        <v>0</v>
      </c>
      <c r="E828" s="245">
        <v>0</v>
      </c>
      <c r="F828" s="246" t="str">
        <f t="shared" si="13"/>
        <v>-</v>
      </c>
      <c r="G828" s="13"/>
    </row>
    <row r="829" spans="1:7" ht="14.1" customHeight="1" x14ac:dyDescent="0.25">
      <c r="A829" s="243">
        <v>51721</v>
      </c>
      <c r="B829" s="244" t="s">
        <v>3500</v>
      </c>
      <c r="C829" s="327">
        <v>815</v>
      </c>
      <c r="D829" s="245">
        <v>0</v>
      </c>
      <c r="E829" s="245">
        <v>0</v>
      </c>
      <c r="F829" s="246" t="str">
        <f t="shared" si="13"/>
        <v>-</v>
      </c>
      <c r="G829" s="13"/>
    </row>
    <row r="830" spans="1:7" ht="14.1" customHeight="1" x14ac:dyDescent="0.25">
      <c r="A830" s="243">
        <v>51722</v>
      </c>
      <c r="B830" s="244" t="s">
        <v>3501</v>
      </c>
      <c r="C830" s="327">
        <v>816</v>
      </c>
      <c r="D830" s="245">
        <v>0</v>
      </c>
      <c r="E830" s="245">
        <v>0</v>
      </c>
      <c r="F830" s="246" t="str">
        <f t="shared" si="13"/>
        <v>-</v>
      </c>
      <c r="G830" s="13"/>
    </row>
    <row r="831" spans="1:7" ht="14.1" customHeight="1" x14ac:dyDescent="0.25">
      <c r="A831" s="243">
        <v>51731</v>
      </c>
      <c r="B831" s="244" t="s">
        <v>3502</v>
      </c>
      <c r="C831" s="327">
        <v>817</v>
      </c>
      <c r="D831" s="245">
        <v>0</v>
      </c>
      <c r="E831" s="245">
        <v>0</v>
      </c>
      <c r="F831" s="246" t="str">
        <f t="shared" si="13"/>
        <v>-</v>
      </c>
      <c r="G831" s="13"/>
    </row>
    <row r="832" spans="1:7" ht="14.1" customHeight="1" x14ac:dyDescent="0.25">
      <c r="A832" s="243">
        <v>51732</v>
      </c>
      <c r="B832" s="244" t="s">
        <v>3503</v>
      </c>
      <c r="C832" s="327">
        <v>818</v>
      </c>
      <c r="D832" s="245">
        <v>0</v>
      </c>
      <c r="E832" s="245">
        <v>0</v>
      </c>
      <c r="F832" s="246" t="str">
        <f t="shared" si="13"/>
        <v>-</v>
      </c>
      <c r="G832" s="13"/>
    </row>
    <row r="833" spans="1:7" ht="14.1" customHeight="1" x14ac:dyDescent="0.25">
      <c r="A833" s="243">
        <v>51741</v>
      </c>
      <c r="B833" s="244" t="s">
        <v>3504</v>
      </c>
      <c r="C833" s="327">
        <v>819</v>
      </c>
      <c r="D833" s="245">
        <v>0</v>
      </c>
      <c r="E833" s="245">
        <v>0</v>
      </c>
      <c r="F833" s="246" t="str">
        <f t="shared" si="13"/>
        <v>-</v>
      </c>
      <c r="G833" s="13"/>
    </row>
    <row r="834" spans="1:7" ht="14.1" customHeight="1" x14ac:dyDescent="0.25">
      <c r="A834" s="243">
        <v>51742</v>
      </c>
      <c r="B834" s="244" t="s">
        <v>3505</v>
      </c>
      <c r="C834" s="327">
        <v>820</v>
      </c>
      <c r="D834" s="245">
        <v>0</v>
      </c>
      <c r="E834" s="245">
        <v>0</v>
      </c>
      <c r="F834" s="246" t="str">
        <f t="shared" si="13"/>
        <v>-</v>
      </c>
      <c r="G834" s="13"/>
    </row>
    <row r="835" spans="1:7" ht="14.1" customHeight="1" x14ac:dyDescent="0.25">
      <c r="A835" s="243">
        <v>51751</v>
      </c>
      <c r="B835" s="244" t="s">
        <v>3506</v>
      </c>
      <c r="C835" s="327">
        <v>821</v>
      </c>
      <c r="D835" s="245">
        <v>0</v>
      </c>
      <c r="E835" s="245">
        <v>0</v>
      </c>
      <c r="F835" s="246" t="str">
        <f t="shared" si="13"/>
        <v>-</v>
      </c>
      <c r="G835" s="13"/>
    </row>
    <row r="836" spans="1:7" ht="14.1" customHeight="1" x14ac:dyDescent="0.25">
      <c r="A836" s="243">
        <v>51752</v>
      </c>
      <c r="B836" s="244" t="s">
        <v>3507</v>
      </c>
      <c r="C836" s="327">
        <v>822</v>
      </c>
      <c r="D836" s="245">
        <v>0</v>
      </c>
      <c r="E836" s="245">
        <v>0</v>
      </c>
      <c r="F836" s="246" t="str">
        <f t="shared" si="13"/>
        <v>-</v>
      </c>
      <c r="G836" s="13"/>
    </row>
    <row r="837" spans="1:7" ht="14.1" customHeight="1" x14ac:dyDescent="0.25">
      <c r="A837" s="243">
        <v>51761</v>
      </c>
      <c r="B837" s="244" t="s">
        <v>3508</v>
      </c>
      <c r="C837" s="327">
        <v>823</v>
      </c>
      <c r="D837" s="245">
        <v>0</v>
      </c>
      <c r="E837" s="245">
        <v>0</v>
      </c>
      <c r="F837" s="246" t="str">
        <f t="shared" si="13"/>
        <v>-</v>
      </c>
      <c r="G837" s="13"/>
    </row>
    <row r="838" spans="1:7" ht="14.1" customHeight="1" x14ac:dyDescent="0.25">
      <c r="A838" s="243">
        <v>51762</v>
      </c>
      <c r="B838" s="244" t="s">
        <v>3509</v>
      </c>
      <c r="C838" s="327">
        <v>824</v>
      </c>
      <c r="D838" s="245">
        <v>0</v>
      </c>
      <c r="E838" s="245">
        <v>0</v>
      </c>
      <c r="F838" s="246" t="str">
        <f t="shared" si="13"/>
        <v>-</v>
      </c>
      <c r="G838" s="13"/>
    </row>
    <row r="839" spans="1:7" ht="24.9" customHeight="1" x14ac:dyDescent="0.25">
      <c r="A839" s="243">
        <v>51771</v>
      </c>
      <c r="B839" s="244" t="s">
        <v>3510</v>
      </c>
      <c r="C839" s="327">
        <v>825</v>
      </c>
      <c r="D839" s="245">
        <v>0</v>
      </c>
      <c r="E839" s="245">
        <v>0</v>
      </c>
      <c r="F839" s="246" t="str">
        <f t="shared" si="13"/>
        <v>-</v>
      </c>
      <c r="G839" s="13"/>
    </row>
    <row r="840" spans="1:7" ht="24.9" customHeight="1" x14ac:dyDescent="0.25">
      <c r="A840" s="243">
        <v>51772</v>
      </c>
      <c r="B840" s="244" t="s">
        <v>3511</v>
      </c>
      <c r="C840" s="327">
        <v>826</v>
      </c>
      <c r="D840" s="245">
        <v>0</v>
      </c>
      <c r="E840" s="245">
        <v>0</v>
      </c>
      <c r="F840" s="246" t="str">
        <f t="shared" si="13"/>
        <v>-</v>
      </c>
      <c r="G840" s="13"/>
    </row>
    <row r="841" spans="1:7" ht="14.1" customHeight="1" x14ac:dyDescent="0.25">
      <c r="A841" s="243">
        <v>54132</v>
      </c>
      <c r="B841" s="244" t="s">
        <v>3512</v>
      </c>
      <c r="C841" s="327">
        <v>827</v>
      </c>
      <c r="D841" s="245">
        <v>0</v>
      </c>
      <c r="E841" s="245">
        <v>0</v>
      </c>
      <c r="F841" s="246" t="str">
        <f t="shared" si="13"/>
        <v>-</v>
      </c>
      <c r="G841" s="13"/>
    </row>
    <row r="842" spans="1:7" ht="14.1" customHeight="1" x14ac:dyDescent="0.25">
      <c r="A842" s="243">
        <v>54142</v>
      </c>
      <c r="B842" s="244" t="s">
        <v>3513</v>
      </c>
      <c r="C842" s="327">
        <v>828</v>
      </c>
      <c r="D842" s="245">
        <v>0</v>
      </c>
      <c r="E842" s="245">
        <v>0</v>
      </c>
      <c r="F842" s="246" t="str">
        <f t="shared" si="13"/>
        <v>-</v>
      </c>
      <c r="G842" s="13"/>
    </row>
    <row r="843" spans="1:7" ht="14.1" customHeight="1" x14ac:dyDescent="0.25">
      <c r="A843" s="243">
        <v>54152</v>
      </c>
      <c r="B843" s="244" t="s">
        <v>3514</v>
      </c>
      <c r="C843" s="327">
        <v>829</v>
      </c>
      <c r="D843" s="245">
        <v>0</v>
      </c>
      <c r="E843" s="245">
        <v>0</v>
      </c>
      <c r="F843" s="246" t="str">
        <f t="shared" si="13"/>
        <v>-</v>
      </c>
      <c r="G843" s="13"/>
    </row>
    <row r="844" spans="1:7" ht="14.1" customHeight="1" x14ac:dyDescent="0.25">
      <c r="A844" s="243">
        <v>54162</v>
      </c>
      <c r="B844" s="244" t="s">
        <v>3515</v>
      </c>
      <c r="C844" s="327">
        <v>830</v>
      </c>
      <c r="D844" s="245">
        <v>0</v>
      </c>
      <c r="E844" s="245">
        <v>0</v>
      </c>
      <c r="F844" s="246" t="str">
        <f t="shared" si="13"/>
        <v>-</v>
      </c>
      <c r="G844" s="13"/>
    </row>
    <row r="845" spans="1:7" ht="14.1" customHeight="1" x14ac:dyDescent="0.25">
      <c r="A845" s="243">
        <v>54221</v>
      </c>
      <c r="B845" s="244" t="s">
        <v>3516</v>
      </c>
      <c r="C845" s="327">
        <v>831</v>
      </c>
      <c r="D845" s="245">
        <v>0</v>
      </c>
      <c r="E845" s="245">
        <v>0</v>
      </c>
      <c r="F845" s="246" t="str">
        <f t="shared" si="13"/>
        <v>-</v>
      </c>
      <c r="G845" s="13"/>
    </row>
    <row r="846" spans="1:7" ht="14.1" customHeight="1" x14ac:dyDescent="0.25">
      <c r="A846" s="243">
        <v>54222</v>
      </c>
      <c r="B846" s="244" t="s">
        <v>3517</v>
      </c>
      <c r="C846" s="327">
        <v>832</v>
      </c>
      <c r="D846" s="245">
        <v>0</v>
      </c>
      <c r="E846" s="245">
        <v>0</v>
      </c>
      <c r="F846" s="246" t="str">
        <f t="shared" si="13"/>
        <v>-</v>
      </c>
      <c r="G846" s="13"/>
    </row>
    <row r="847" spans="1:7" ht="14.1" customHeight="1" x14ac:dyDescent="0.25">
      <c r="A847" s="243">
        <v>54232</v>
      </c>
      <c r="B847" s="247" t="s">
        <v>3561</v>
      </c>
      <c r="C847" s="327">
        <v>833</v>
      </c>
      <c r="D847" s="245">
        <v>0</v>
      </c>
      <c r="E847" s="245">
        <v>0</v>
      </c>
      <c r="F847" s="246" t="str">
        <f t="shared" si="13"/>
        <v>-</v>
      </c>
      <c r="G847" s="13"/>
    </row>
    <row r="848" spans="1:7" ht="24.9" customHeight="1" x14ac:dyDescent="0.25">
      <c r="A848" s="243">
        <v>54242</v>
      </c>
      <c r="B848" s="244" t="s">
        <v>3562</v>
      </c>
      <c r="C848" s="327">
        <v>834</v>
      </c>
      <c r="D848" s="245">
        <v>0</v>
      </c>
      <c r="E848" s="245">
        <v>0</v>
      </c>
      <c r="F848" s="246" t="str">
        <f t="shared" si="13"/>
        <v>-</v>
      </c>
      <c r="G848" s="13"/>
    </row>
    <row r="849" spans="1:7" ht="14.1" customHeight="1" x14ac:dyDescent="0.25">
      <c r="A849" s="243">
        <v>54312</v>
      </c>
      <c r="B849" s="244" t="s">
        <v>3563</v>
      </c>
      <c r="C849" s="327">
        <v>835</v>
      </c>
      <c r="D849" s="245">
        <v>0</v>
      </c>
      <c r="E849" s="245">
        <v>0</v>
      </c>
      <c r="F849" s="246" t="str">
        <f t="shared" si="13"/>
        <v>-</v>
      </c>
      <c r="G849" s="13"/>
    </row>
    <row r="850" spans="1:7" ht="24.9" customHeight="1" x14ac:dyDescent="0.25">
      <c r="A850" s="243">
        <v>54431</v>
      </c>
      <c r="B850" s="244" t="s">
        <v>3564</v>
      </c>
      <c r="C850" s="327">
        <v>836</v>
      </c>
      <c r="D850" s="245">
        <v>0</v>
      </c>
      <c r="E850" s="245">
        <v>0</v>
      </c>
      <c r="F850" s="246" t="str">
        <f t="shared" si="13"/>
        <v>-</v>
      </c>
      <c r="G850" s="13"/>
    </row>
    <row r="851" spans="1:7" ht="24.9" customHeight="1" x14ac:dyDescent="0.25">
      <c r="A851" s="243">
        <v>54432</v>
      </c>
      <c r="B851" s="244" t="s">
        <v>3565</v>
      </c>
      <c r="C851" s="327">
        <v>837</v>
      </c>
      <c r="D851" s="245">
        <v>0</v>
      </c>
      <c r="E851" s="245">
        <v>0</v>
      </c>
      <c r="F851" s="246" t="str">
        <f t="shared" ref="F851:F877" si="14">IF(D851&gt;0,IF(E851/D851&gt;=100,"&gt;&gt;100",E851/D851*100),"-")</f>
        <v>-</v>
      </c>
      <c r="G851" s="13"/>
    </row>
    <row r="852" spans="1:7" ht="24.9" customHeight="1" x14ac:dyDescent="0.25">
      <c r="A852" s="243">
        <v>54442</v>
      </c>
      <c r="B852" s="244" t="s">
        <v>3566</v>
      </c>
      <c r="C852" s="327">
        <v>838</v>
      </c>
      <c r="D852" s="245">
        <v>0</v>
      </c>
      <c r="E852" s="245">
        <v>0</v>
      </c>
      <c r="F852" s="246" t="str">
        <f t="shared" si="14"/>
        <v>-</v>
      </c>
      <c r="G852" s="13"/>
    </row>
    <row r="853" spans="1:7" ht="24.9" customHeight="1" x14ac:dyDescent="0.25">
      <c r="A853" s="243">
        <v>54452</v>
      </c>
      <c r="B853" s="244" t="s">
        <v>1569</v>
      </c>
      <c r="C853" s="327">
        <v>839</v>
      </c>
      <c r="D853" s="245">
        <v>0</v>
      </c>
      <c r="E853" s="245">
        <v>0</v>
      </c>
      <c r="F853" s="246" t="str">
        <f t="shared" si="14"/>
        <v>-</v>
      </c>
      <c r="G853" s="13"/>
    </row>
    <row r="854" spans="1:7" ht="14.1" customHeight="1" x14ac:dyDescent="0.25">
      <c r="A854" s="243">
        <v>54461</v>
      </c>
      <c r="B854" s="244" t="s">
        <v>1570</v>
      </c>
      <c r="C854" s="327">
        <v>840</v>
      </c>
      <c r="D854" s="245">
        <v>0</v>
      </c>
      <c r="E854" s="245">
        <v>0</v>
      </c>
      <c r="F854" s="246" t="str">
        <f t="shared" si="14"/>
        <v>-</v>
      </c>
      <c r="G854" s="13"/>
    </row>
    <row r="855" spans="1:7" ht="14.1" customHeight="1" x14ac:dyDescent="0.25">
      <c r="A855" s="243">
        <v>54462</v>
      </c>
      <c r="B855" s="244" t="s">
        <v>1571</v>
      </c>
      <c r="C855" s="327">
        <v>841</v>
      </c>
      <c r="D855" s="245">
        <v>0</v>
      </c>
      <c r="E855" s="245">
        <v>0</v>
      </c>
      <c r="F855" s="246" t="str">
        <f t="shared" si="14"/>
        <v>-</v>
      </c>
      <c r="G855" s="13"/>
    </row>
    <row r="856" spans="1:7" ht="14.1" customHeight="1" x14ac:dyDescent="0.25">
      <c r="A856" s="243">
        <v>54472</v>
      </c>
      <c r="B856" s="244" t="s">
        <v>1572</v>
      </c>
      <c r="C856" s="327">
        <v>842</v>
      </c>
      <c r="D856" s="245">
        <v>0</v>
      </c>
      <c r="E856" s="245">
        <v>0</v>
      </c>
      <c r="F856" s="246" t="str">
        <f t="shared" si="14"/>
        <v>-</v>
      </c>
      <c r="G856" s="13"/>
    </row>
    <row r="857" spans="1:7" ht="14.1" customHeight="1" x14ac:dyDescent="0.25">
      <c r="A857" s="243">
        <v>54482</v>
      </c>
      <c r="B857" s="247" t="s">
        <v>1573</v>
      </c>
      <c r="C857" s="327">
        <v>843</v>
      </c>
      <c r="D857" s="245">
        <v>0</v>
      </c>
      <c r="E857" s="245">
        <v>0</v>
      </c>
      <c r="F857" s="246" t="str">
        <f t="shared" si="14"/>
        <v>-</v>
      </c>
      <c r="G857" s="13"/>
    </row>
    <row r="858" spans="1:7" ht="24.9" customHeight="1" x14ac:dyDescent="0.25">
      <c r="A858" s="243">
        <v>54532</v>
      </c>
      <c r="B858" s="244" t="s">
        <v>1574</v>
      </c>
      <c r="C858" s="327">
        <v>844</v>
      </c>
      <c r="D858" s="245">
        <v>0</v>
      </c>
      <c r="E858" s="245">
        <v>0</v>
      </c>
      <c r="F858" s="246" t="str">
        <f t="shared" si="14"/>
        <v>-</v>
      </c>
      <c r="G858" s="13"/>
    </row>
    <row r="859" spans="1:7" ht="14.1" customHeight="1" x14ac:dyDescent="0.25">
      <c r="A859" s="243">
        <v>54542</v>
      </c>
      <c r="B859" s="244" t="s">
        <v>4150</v>
      </c>
      <c r="C859" s="327">
        <v>845</v>
      </c>
      <c r="D859" s="245">
        <v>0</v>
      </c>
      <c r="E859" s="245">
        <v>0</v>
      </c>
      <c r="F859" s="246" t="str">
        <f t="shared" si="14"/>
        <v>-</v>
      </c>
      <c r="G859" s="13"/>
    </row>
    <row r="860" spans="1:7" ht="14.1" customHeight="1" x14ac:dyDescent="0.25">
      <c r="A860" s="243">
        <v>54552</v>
      </c>
      <c r="B860" s="244" t="s">
        <v>1575</v>
      </c>
      <c r="C860" s="327">
        <v>846</v>
      </c>
      <c r="D860" s="245">
        <v>0</v>
      </c>
      <c r="E860" s="245">
        <v>0</v>
      </c>
      <c r="F860" s="246" t="str">
        <f t="shared" si="14"/>
        <v>-</v>
      </c>
      <c r="G860" s="13"/>
    </row>
    <row r="861" spans="1:7" ht="14.1" customHeight="1" x14ac:dyDescent="0.25">
      <c r="A861" s="243">
        <v>54711</v>
      </c>
      <c r="B861" s="244" t="s">
        <v>1576</v>
      </c>
      <c r="C861" s="327">
        <v>847</v>
      </c>
      <c r="D861" s="245">
        <v>0</v>
      </c>
      <c r="E861" s="245">
        <v>0</v>
      </c>
      <c r="F861" s="246" t="str">
        <f t="shared" si="14"/>
        <v>-</v>
      </c>
      <c r="G861" s="13"/>
    </row>
    <row r="862" spans="1:7" ht="14.1" customHeight="1" x14ac:dyDescent="0.25">
      <c r="A862" s="243">
        <v>54712</v>
      </c>
      <c r="B862" s="244" t="s">
        <v>1577</v>
      </c>
      <c r="C862" s="327">
        <v>848</v>
      </c>
      <c r="D862" s="245">
        <v>0</v>
      </c>
      <c r="E862" s="245">
        <v>0</v>
      </c>
      <c r="F862" s="246" t="str">
        <f t="shared" si="14"/>
        <v>-</v>
      </c>
      <c r="G862" s="13"/>
    </row>
    <row r="863" spans="1:7" ht="14.1" customHeight="1" x14ac:dyDescent="0.25">
      <c r="A863" s="243">
        <v>54721</v>
      </c>
      <c r="B863" s="244" t="s">
        <v>497</v>
      </c>
      <c r="C863" s="327">
        <v>849</v>
      </c>
      <c r="D863" s="245">
        <v>0</v>
      </c>
      <c r="E863" s="245">
        <v>0</v>
      </c>
      <c r="F863" s="246" t="str">
        <f t="shared" si="14"/>
        <v>-</v>
      </c>
      <c r="G863" s="13"/>
    </row>
    <row r="864" spans="1:7" ht="14.1" customHeight="1" x14ac:dyDescent="0.25">
      <c r="A864" s="243">
        <v>54722</v>
      </c>
      <c r="B864" s="244" t="s">
        <v>498</v>
      </c>
      <c r="C864" s="327">
        <v>850</v>
      </c>
      <c r="D864" s="245">
        <v>0</v>
      </c>
      <c r="E864" s="245">
        <v>0</v>
      </c>
      <c r="F864" s="246" t="str">
        <f t="shared" si="14"/>
        <v>-</v>
      </c>
      <c r="G864" s="13"/>
    </row>
    <row r="865" spans="1:7" ht="14.1" customHeight="1" x14ac:dyDescent="0.25">
      <c r="A865" s="243">
        <v>54731</v>
      </c>
      <c r="B865" s="244" t="s">
        <v>499</v>
      </c>
      <c r="C865" s="327">
        <v>851</v>
      </c>
      <c r="D865" s="245">
        <v>0</v>
      </c>
      <c r="E865" s="245">
        <v>0</v>
      </c>
      <c r="F865" s="246" t="str">
        <f t="shared" si="14"/>
        <v>-</v>
      </c>
      <c r="G865" s="13"/>
    </row>
    <row r="866" spans="1:7" ht="14.1" customHeight="1" x14ac:dyDescent="0.25">
      <c r="A866" s="243">
        <v>54732</v>
      </c>
      <c r="B866" s="244" t="s">
        <v>3220</v>
      </c>
      <c r="C866" s="327">
        <v>852</v>
      </c>
      <c r="D866" s="245">
        <v>0</v>
      </c>
      <c r="E866" s="245">
        <v>0</v>
      </c>
      <c r="F866" s="246" t="str">
        <f t="shared" si="14"/>
        <v>-</v>
      </c>
      <c r="G866" s="13"/>
    </row>
    <row r="867" spans="1:7" ht="14.1" customHeight="1" x14ac:dyDescent="0.25">
      <c r="A867" s="243">
        <v>54741</v>
      </c>
      <c r="B867" s="244" t="s">
        <v>3221</v>
      </c>
      <c r="C867" s="327">
        <v>853</v>
      </c>
      <c r="D867" s="245">
        <v>0</v>
      </c>
      <c r="E867" s="245">
        <v>0</v>
      </c>
      <c r="F867" s="246" t="str">
        <f t="shared" si="14"/>
        <v>-</v>
      </c>
      <c r="G867" s="13"/>
    </row>
    <row r="868" spans="1:7" ht="14.1" customHeight="1" x14ac:dyDescent="0.25">
      <c r="A868" s="243">
        <v>54742</v>
      </c>
      <c r="B868" s="244" t="s">
        <v>3222</v>
      </c>
      <c r="C868" s="327">
        <v>854</v>
      </c>
      <c r="D868" s="245">
        <v>0</v>
      </c>
      <c r="E868" s="245">
        <v>0</v>
      </c>
      <c r="F868" s="246" t="str">
        <f t="shared" si="14"/>
        <v>-</v>
      </c>
      <c r="G868" s="13"/>
    </row>
    <row r="869" spans="1:7" ht="14.1" customHeight="1" x14ac:dyDescent="0.25">
      <c r="A869" s="243">
        <v>54751</v>
      </c>
      <c r="B869" s="244" t="s">
        <v>3223</v>
      </c>
      <c r="C869" s="327">
        <v>855</v>
      </c>
      <c r="D869" s="245">
        <v>0</v>
      </c>
      <c r="E869" s="245">
        <v>0</v>
      </c>
      <c r="F869" s="246" t="str">
        <f t="shared" si="14"/>
        <v>-</v>
      </c>
      <c r="G869" s="13"/>
    </row>
    <row r="870" spans="1:7" ht="14.1" customHeight="1" x14ac:dyDescent="0.25">
      <c r="A870" s="243">
        <v>54752</v>
      </c>
      <c r="B870" s="244" t="s">
        <v>3224</v>
      </c>
      <c r="C870" s="327">
        <v>856</v>
      </c>
      <c r="D870" s="245">
        <v>0</v>
      </c>
      <c r="E870" s="245">
        <v>0</v>
      </c>
      <c r="F870" s="246" t="str">
        <f t="shared" si="14"/>
        <v>-</v>
      </c>
      <c r="G870" s="13"/>
    </row>
    <row r="871" spans="1:7" ht="24.9" customHeight="1" x14ac:dyDescent="0.25">
      <c r="A871" s="243">
        <v>54761</v>
      </c>
      <c r="B871" s="244" t="s">
        <v>193</v>
      </c>
      <c r="C871" s="327">
        <v>857</v>
      </c>
      <c r="D871" s="245">
        <v>0</v>
      </c>
      <c r="E871" s="245">
        <v>0</v>
      </c>
      <c r="F871" s="246" t="str">
        <f t="shared" si="14"/>
        <v>-</v>
      </c>
      <c r="G871" s="13"/>
    </row>
    <row r="872" spans="1:7" ht="24.9" customHeight="1" x14ac:dyDescent="0.25">
      <c r="A872" s="243">
        <v>54762</v>
      </c>
      <c r="B872" s="244" t="s">
        <v>194</v>
      </c>
      <c r="C872" s="327">
        <v>858</v>
      </c>
      <c r="D872" s="245">
        <v>0</v>
      </c>
      <c r="E872" s="245">
        <v>0</v>
      </c>
      <c r="F872" s="246" t="str">
        <f t="shared" si="14"/>
        <v>-</v>
      </c>
      <c r="G872" s="13"/>
    </row>
    <row r="873" spans="1:7" ht="24.9" customHeight="1" x14ac:dyDescent="0.25">
      <c r="A873" s="243">
        <v>54771</v>
      </c>
      <c r="B873" s="244" t="s">
        <v>195</v>
      </c>
      <c r="C873" s="327">
        <v>859</v>
      </c>
      <c r="D873" s="245">
        <v>0</v>
      </c>
      <c r="E873" s="245">
        <v>0</v>
      </c>
      <c r="F873" s="246" t="str">
        <f t="shared" si="14"/>
        <v>-</v>
      </c>
      <c r="G873" s="13"/>
    </row>
    <row r="874" spans="1:7" ht="24.9" customHeight="1" x14ac:dyDescent="0.25">
      <c r="A874" s="243">
        <v>54772</v>
      </c>
      <c r="B874" s="244" t="s">
        <v>196</v>
      </c>
      <c r="C874" s="327">
        <v>860</v>
      </c>
      <c r="D874" s="245">
        <v>0</v>
      </c>
      <c r="E874" s="245">
        <v>0</v>
      </c>
      <c r="F874" s="246" t="str">
        <f t="shared" si="14"/>
        <v>-</v>
      </c>
      <c r="G874" s="13"/>
    </row>
    <row r="875" spans="1:7" ht="14.1" customHeight="1" x14ac:dyDescent="0.25">
      <c r="A875" s="243">
        <v>55312</v>
      </c>
      <c r="B875" s="244" t="s">
        <v>197</v>
      </c>
      <c r="C875" s="327">
        <v>861</v>
      </c>
      <c r="D875" s="245">
        <v>0</v>
      </c>
      <c r="E875" s="245">
        <v>0</v>
      </c>
      <c r="F875" s="246" t="str">
        <f t="shared" si="14"/>
        <v>-</v>
      </c>
      <c r="G875" s="13"/>
    </row>
    <row r="876" spans="1:7" ht="14.1" customHeight="1" x14ac:dyDescent="0.25">
      <c r="A876" s="243"/>
      <c r="B876" s="244" t="s">
        <v>4068</v>
      </c>
      <c r="C876" s="327">
        <v>862</v>
      </c>
      <c r="D876" s="245">
        <v>0</v>
      </c>
      <c r="E876" s="245">
        <v>0</v>
      </c>
      <c r="F876" s="246" t="str">
        <f t="shared" si="14"/>
        <v>-</v>
      </c>
      <c r="G876" s="13"/>
    </row>
    <row r="877" spans="1:7" ht="14.1" customHeight="1" x14ac:dyDescent="0.25">
      <c r="A877" s="253"/>
      <c r="B877" s="254" t="s">
        <v>198</v>
      </c>
      <c r="C877" s="329">
        <v>863</v>
      </c>
      <c r="D877" s="255">
        <f>SUM(D814:D876)</f>
        <v>0</v>
      </c>
      <c r="E877" s="255">
        <f>SUM(E814:E876)</f>
        <v>0</v>
      </c>
      <c r="F877" s="256" t="str">
        <f t="shared" si="14"/>
        <v>-</v>
      </c>
      <c r="G877" s="13"/>
    </row>
    <row r="878" spans="1:7" ht="20.100000000000001" customHeight="1" x14ac:dyDescent="0.25">
      <c r="A878" s="532" t="s">
        <v>199</v>
      </c>
      <c r="B878" s="533"/>
      <c r="C878" s="533"/>
      <c r="D878" s="534"/>
      <c r="E878" s="13"/>
      <c r="F878" s="13"/>
      <c r="G878" s="13"/>
    </row>
    <row r="879" spans="1:7" ht="39.9" customHeight="1" x14ac:dyDescent="0.25">
      <c r="A879" s="208" t="s">
        <v>4069</v>
      </c>
      <c r="B879" s="209" t="s">
        <v>4502</v>
      </c>
      <c r="C879" s="209" t="s">
        <v>4501</v>
      </c>
      <c r="D879" s="208" t="s">
        <v>385</v>
      </c>
      <c r="E879" s="15"/>
      <c r="F879" s="13"/>
      <c r="G879" s="13"/>
    </row>
    <row r="880" spans="1:7" ht="12" x14ac:dyDescent="0.25">
      <c r="A880" s="101">
        <v>1</v>
      </c>
      <c r="B880" s="105">
        <v>2</v>
      </c>
      <c r="C880" s="103">
        <v>3</v>
      </c>
      <c r="D880" s="103">
        <v>4</v>
      </c>
      <c r="E880" s="16"/>
      <c r="F880" s="13"/>
      <c r="G880" s="13"/>
    </row>
    <row r="881" spans="1:7" ht="24.9" customHeight="1" x14ac:dyDescent="0.25">
      <c r="A881" s="210"/>
      <c r="B881" s="211" t="s">
        <v>386</v>
      </c>
      <c r="C881" s="320">
        <v>864</v>
      </c>
      <c r="D881" s="287">
        <f>SUM(D882:D901)</f>
        <v>0</v>
      </c>
      <c r="E881" s="17"/>
      <c r="F881" s="13"/>
      <c r="G881" s="13"/>
    </row>
    <row r="882" spans="1:7" ht="14.1" customHeight="1" x14ac:dyDescent="0.25">
      <c r="A882" s="214">
        <v>13411</v>
      </c>
      <c r="B882" s="215" t="s">
        <v>387</v>
      </c>
      <c r="C882" s="321">
        <v>865</v>
      </c>
      <c r="D882" s="168">
        <v>0</v>
      </c>
      <c r="E882" s="17"/>
      <c r="F882" s="13"/>
      <c r="G882" s="13"/>
    </row>
    <row r="883" spans="1:7" ht="14.1" customHeight="1" x14ac:dyDescent="0.25">
      <c r="A883" s="214">
        <v>13412</v>
      </c>
      <c r="B883" s="215" t="s">
        <v>388</v>
      </c>
      <c r="C883" s="321">
        <v>866</v>
      </c>
      <c r="D883" s="168">
        <v>0</v>
      </c>
      <c r="E883" s="17"/>
      <c r="F883" s="13"/>
      <c r="G883" s="13"/>
    </row>
    <row r="884" spans="1:7" ht="14.1" customHeight="1" x14ac:dyDescent="0.25">
      <c r="A884" s="214">
        <v>13631</v>
      </c>
      <c r="B884" s="215" t="s">
        <v>389</v>
      </c>
      <c r="C884" s="321">
        <v>867</v>
      </c>
      <c r="D884" s="168">
        <v>0</v>
      </c>
      <c r="E884" s="17"/>
      <c r="F884" s="13"/>
      <c r="G884" s="13"/>
    </row>
    <row r="885" spans="1:7" ht="14.1" customHeight="1" x14ac:dyDescent="0.25">
      <c r="A885" s="214">
        <v>13632</v>
      </c>
      <c r="B885" s="215" t="s">
        <v>390</v>
      </c>
      <c r="C885" s="321">
        <v>868</v>
      </c>
      <c r="D885" s="168">
        <v>0</v>
      </c>
      <c r="E885" s="17"/>
      <c r="F885" s="13"/>
      <c r="G885" s="13"/>
    </row>
    <row r="886" spans="1:7" ht="14.1" customHeight="1" x14ac:dyDescent="0.25">
      <c r="A886" s="214">
        <v>13641</v>
      </c>
      <c r="B886" s="215" t="s">
        <v>391</v>
      </c>
      <c r="C886" s="321">
        <v>869</v>
      </c>
      <c r="D886" s="168">
        <v>0</v>
      </c>
      <c r="E886" s="17"/>
      <c r="F886" s="13"/>
      <c r="G886" s="13"/>
    </row>
    <row r="887" spans="1:7" ht="14.1" customHeight="1" x14ac:dyDescent="0.25">
      <c r="A887" s="214">
        <v>13642</v>
      </c>
      <c r="B887" s="215" t="s">
        <v>392</v>
      </c>
      <c r="C887" s="321">
        <v>870</v>
      </c>
      <c r="D887" s="168">
        <v>0</v>
      </c>
      <c r="E887" s="17"/>
      <c r="F887" s="13"/>
      <c r="G887" s="13"/>
    </row>
    <row r="888" spans="1:7" ht="14.1" customHeight="1" x14ac:dyDescent="0.25">
      <c r="A888" s="214">
        <v>13711</v>
      </c>
      <c r="B888" s="215" t="s">
        <v>393</v>
      </c>
      <c r="C888" s="321">
        <v>871</v>
      </c>
      <c r="D888" s="168">
        <v>0</v>
      </c>
      <c r="E888" s="17"/>
      <c r="F888" s="13"/>
      <c r="G888" s="13"/>
    </row>
    <row r="889" spans="1:7" ht="14.1" customHeight="1" x14ac:dyDescent="0.25">
      <c r="A889" s="214">
        <v>13712</v>
      </c>
      <c r="B889" s="215" t="s">
        <v>394</v>
      </c>
      <c r="C889" s="321">
        <v>872</v>
      </c>
      <c r="D889" s="168">
        <v>0</v>
      </c>
      <c r="E889" s="17"/>
      <c r="F889" s="13"/>
      <c r="G889" s="13"/>
    </row>
    <row r="890" spans="1:7" ht="14.1" customHeight="1" x14ac:dyDescent="0.25">
      <c r="A890" s="214">
        <v>13721</v>
      </c>
      <c r="B890" s="215" t="s">
        <v>395</v>
      </c>
      <c r="C890" s="321">
        <v>873</v>
      </c>
      <c r="D890" s="168">
        <v>0</v>
      </c>
      <c r="E890" s="17"/>
      <c r="F890" s="13"/>
      <c r="G890" s="13"/>
    </row>
    <row r="891" spans="1:7" ht="14.1" customHeight="1" x14ac:dyDescent="0.25">
      <c r="A891" s="214">
        <v>13722</v>
      </c>
      <c r="B891" s="215" t="s">
        <v>1442</v>
      </c>
      <c r="C891" s="321">
        <v>874</v>
      </c>
      <c r="D891" s="168">
        <v>0</v>
      </c>
      <c r="E891" s="17"/>
      <c r="F891" s="13"/>
      <c r="G891" s="13"/>
    </row>
    <row r="892" spans="1:7" ht="14.1" customHeight="1" x14ac:dyDescent="0.25">
      <c r="A892" s="214">
        <v>13731</v>
      </c>
      <c r="B892" s="215" t="s">
        <v>1443</v>
      </c>
      <c r="C892" s="321">
        <v>875</v>
      </c>
      <c r="D892" s="168">
        <v>0</v>
      </c>
      <c r="E892" s="17"/>
      <c r="F892" s="13"/>
      <c r="G892" s="13"/>
    </row>
    <row r="893" spans="1:7" ht="14.1" customHeight="1" x14ac:dyDescent="0.25">
      <c r="A893" s="214">
        <v>13732</v>
      </c>
      <c r="B893" s="215" t="s">
        <v>1444</v>
      </c>
      <c r="C893" s="321">
        <v>876</v>
      </c>
      <c r="D893" s="168">
        <v>0</v>
      </c>
      <c r="E893" s="17"/>
      <c r="F893" s="13"/>
      <c r="G893" s="13"/>
    </row>
    <row r="894" spans="1:7" ht="14.1" customHeight="1" x14ac:dyDescent="0.25">
      <c r="A894" s="214">
        <v>13741</v>
      </c>
      <c r="B894" s="215" t="s">
        <v>1445</v>
      </c>
      <c r="C894" s="321">
        <v>877</v>
      </c>
      <c r="D894" s="168">
        <v>0</v>
      </c>
      <c r="E894" s="17"/>
      <c r="F894" s="13"/>
      <c r="G894" s="13"/>
    </row>
    <row r="895" spans="1:7" ht="14.1" customHeight="1" x14ac:dyDescent="0.25">
      <c r="A895" s="214">
        <v>13742</v>
      </c>
      <c r="B895" s="215" t="s">
        <v>1446</v>
      </c>
      <c r="C895" s="321">
        <v>878</v>
      </c>
      <c r="D895" s="168">
        <v>0</v>
      </c>
      <c r="E895" s="17"/>
      <c r="F895" s="13"/>
      <c r="G895" s="13"/>
    </row>
    <row r="896" spans="1:7" ht="14.1" customHeight="1" x14ac:dyDescent="0.25">
      <c r="A896" s="214">
        <v>13751</v>
      </c>
      <c r="B896" s="215" t="s">
        <v>1447</v>
      </c>
      <c r="C896" s="321">
        <v>879</v>
      </c>
      <c r="D896" s="168">
        <v>0</v>
      </c>
      <c r="E896" s="17"/>
      <c r="F896" s="13"/>
      <c r="G896" s="13"/>
    </row>
    <row r="897" spans="1:7" ht="14.1" customHeight="1" x14ac:dyDescent="0.25">
      <c r="A897" s="214">
        <v>13752</v>
      </c>
      <c r="B897" s="215" t="s">
        <v>1448</v>
      </c>
      <c r="C897" s="321">
        <v>880</v>
      </c>
      <c r="D897" s="168">
        <v>0</v>
      </c>
      <c r="E897" s="17"/>
      <c r="F897" s="13"/>
      <c r="G897" s="13"/>
    </row>
    <row r="898" spans="1:7" ht="14.1" customHeight="1" x14ac:dyDescent="0.25">
      <c r="A898" s="214">
        <v>13761</v>
      </c>
      <c r="B898" s="215" t="s">
        <v>1449</v>
      </c>
      <c r="C898" s="321">
        <v>881</v>
      </c>
      <c r="D898" s="168">
        <v>0</v>
      </c>
      <c r="E898" s="17"/>
      <c r="F898" s="13"/>
      <c r="G898" s="13"/>
    </row>
    <row r="899" spans="1:7" ht="14.1" customHeight="1" x14ac:dyDescent="0.25">
      <c r="A899" s="214">
        <v>13762</v>
      </c>
      <c r="B899" s="215" t="s">
        <v>1450</v>
      </c>
      <c r="C899" s="321">
        <v>882</v>
      </c>
      <c r="D899" s="168">
        <v>0</v>
      </c>
      <c r="E899" s="17"/>
      <c r="F899" s="13"/>
      <c r="G899" s="13"/>
    </row>
    <row r="900" spans="1:7" ht="14.1" customHeight="1" x14ac:dyDescent="0.25">
      <c r="A900" s="214">
        <v>13771</v>
      </c>
      <c r="B900" s="219" t="s">
        <v>1451</v>
      </c>
      <c r="C900" s="321">
        <v>883</v>
      </c>
      <c r="D900" s="168">
        <v>0</v>
      </c>
      <c r="E900" s="17"/>
      <c r="F900" s="13"/>
      <c r="G900" s="13"/>
    </row>
    <row r="901" spans="1:7" ht="14.1" customHeight="1" x14ac:dyDescent="0.25">
      <c r="A901" s="214">
        <v>13772</v>
      </c>
      <c r="B901" s="219" t="s">
        <v>1452</v>
      </c>
      <c r="C901" s="321">
        <v>884</v>
      </c>
      <c r="D901" s="168">
        <v>0</v>
      </c>
      <c r="E901" s="17"/>
      <c r="F901" s="13"/>
      <c r="G901" s="13"/>
    </row>
    <row r="902" spans="1:7" ht="14.1" customHeight="1" x14ac:dyDescent="0.25">
      <c r="A902" s="214">
        <v>267</v>
      </c>
      <c r="B902" s="215" t="s">
        <v>1453</v>
      </c>
      <c r="C902" s="321">
        <v>885</v>
      </c>
      <c r="D902" s="169">
        <f>SUM(D903:D916)</f>
        <v>0</v>
      </c>
      <c r="E902" s="17"/>
      <c r="F902" s="13"/>
      <c r="G902" s="13"/>
    </row>
    <row r="903" spans="1:7" ht="14.1" customHeight="1" x14ac:dyDescent="0.25">
      <c r="A903" s="214">
        <v>26711</v>
      </c>
      <c r="B903" s="215" t="s">
        <v>1454</v>
      </c>
      <c r="C903" s="321">
        <v>886</v>
      </c>
      <c r="D903" s="168">
        <v>0</v>
      </c>
      <c r="E903" s="17"/>
      <c r="F903" s="13"/>
      <c r="G903" s="13"/>
    </row>
    <row r="904" spans="1:7" ht="14.1" customHeight="1" x14ac:dyDescent="0.25">
      <c r="A904" s="214">
        <v>26712</v>
      </c>
      <c r="B904" s="215" t="s">
        <v>1455</v>
      </c>
      <c r="C904" s="321">
        <v>887</v>
      </c>
      <c r="D904" s="168">
        <v>0</v>
      </c>
      <c r="E904" s="17"/>
      <c r="F904" s="13"/>
      <c r="G904" s="13"/>
    </row>
    <row r="905" spans="1:7" ht="14.1" customHeight="1" x14ac:dyDescent="0.25">
      <c r="A905" s="214">
        <v>26721</v>
      </c>
      <c r="B905" s="215" t="s">
        <v>1456</v>
      </c>
      <c r="C905" s="321">
        <v>888</v>
      </c>
      <c r="D905" s="168">
        <v>0</v>
      </c>
      <c r="E905" s="17"/>
      <c r="F905" s="13"/>
      <c r="G905" s="13"/>
    </row>
    <row r="906" spans="1:7" ht="14.1" customHeight="1" x14ac:dyDescent="0.25">
      <c r="A906" s="214">
        <v>26722</v>
      </c>
      <c r="B906" s="215" t="s">
        <v>1457</v>
      </c>
      <c r="C906" s="321">
        <v>889</v>
      </c>
      <c r="D906" s="168">
        <v>0</v>
      </c>
      <c r="E906" s="17"/>
      <c r="F906" s="13"/>
      <c r="G906" s="13"/>
    </row>
    <row r="907" spans="1:7" ht="14.1" customHeight="1" x14ac:dyDescent="0.25">
      <c r="A907" s="214">
        <v>26731</v>
      </c>
      <c r="B907" s="215" t="s">
        <v>1458</v>
      </c>
      <c r="C907" s="321">
        <v>890</v>
      </c>
      <c r="D907" s="168">
        <v>0</v>
      </c>
      <c r="E907" s="17"/>
      <c r="F907" s="13"/>
      <c r="G907" s="13"/>
    </row>
    <row r="908" spans="1:7" ht="14.1" customHeight="1" x14ac:dyDescent="0.25">
      <c r="A908" s="214">
        <v>26732</v>
      </c>
      <c r="B908" s="215" t="s">
        <v>1459</v>
      </c>
      <c r="C908" s="321">
        <v>891</v>
      </c>
      <c r="D908" s="168">
        <v>0</v>
      </c>
      <c r="E908" s="17"/>
      <c r="F908" s="13"/>
      <c r="G908" s="13"/>
    </row>
    <row r="909" spans="1:7" ht="14.1" customHeight="1" x14ac:dyDescent="0.25">
      <c r="A909" s="214">
        <v>26741</v>
      </c>
      <c r="B909" s="215" t="s">
        <v>1460</v>
      </c>
      <c r="C909" s="321">
        <v>892</v>
      </c>
      <c r="D909" s="168">
        <v>0</v>
      </c>
      <c r="E909" s="17"/>
      <c r="F909" s="13"/>
      <c r="G909" s="13"/>
    </row>
    <row r="910" spans="1:7" ht="14.1" customHeight="1" x14ac:dyDescent="0.25">
      <c r="A910" s="214">
        <v>26742</v>
      </c>
      <c r="B910" s="215" t="s">
        <v>1461</v>
      </c>
      <c r="C910" s="321">
        <v>893</v>
      </c>
      <c r="D910" s="168">
        <v>0</v>
      </c>
      <c r="E910" s="17"/>
      <c r="F910" s="13"/>
      <c r="G910" s="13"/>
    </row>
    <row r="911" spans="1:7" ht="14.1" customHeight="1" x14ac:dyDescent="0.25">
      <c r="A911" s="214">
        <v>26751</v>
      </c>
      <c r="B911" s="215" t="s">
        <v>1462</v>
      </c>
      <c r="C911" s="321">
        <v>894</v>
      </c>
      <c r="D911" s="168">
        <v>0</v>
      </c>
      <c r="E911" s="17"/>
      <c r="F911" s="13"/>
      <c r="G911" s="13"/>
    </row>
    <row r="912" spans="1:7" ht="14.1" customHeight="1" x14ac:dyDescent="0.25">
      <c r="A912" s="214">
        <v>26752</v>
      </c>
      <c r="B912" s="215" t="s">
        <v>1463</v>
      </c>
      <c r="C912" s="321">
        <v>895</v>
      </c>
      <c r="D912" s="168">
        <v>0</v>
      </c>
      <c r="E912" s="17"/>
      <c r="F912" s="13"/>
      <c r="G912" s="13"/>
    </row>
    <row r="913" spans="1:7" ht="14.1" customHeight="1" x14ac:dyDescent="0.25">
      <c r="A913" s="214">
        <v>26761</v>
      </c>
      <c r="B913" s="219" t="s">
        <v>1464</v>
      </c>
      <c r="C913" s="321">
        <v>896</v>
      </c>
      <c r="D913" s="168">
        <v>0</v>
      </c>
      <c r="E913" s="17"/>
      <c r="F913" s="13"/>
      <c r="G913" s="13"/>
    </row>
    <row r="914" spans="1:7" ht="14.1" customHeight="1" x14ac:dyDescent="0.25">
      <c r="A914" s="214">
        <v>26762</v>
      </c>
      <c r="B914" s="219" t="s">
        <v>1465</v>
      </c>
      <c r="C914" s="321">
        <v>897</v>
      </c>
      <c r="D914" s="168">
        <v>0</v>
      </c>
      <c r="E914" s="17"/>
      <c r="F914" s="13"/>
      <c r="G914" s="13"/>
    </row>
    <row r="915" spans="1:7" ht="24.9" customHeight="1" x14ac:dyDescent="0.25">
      <c r="A915" s="214">
        <v>26771</v>
      </c>
      <c r="B915" s="215" t="s">
        <v>4146</v>
      </c>
      <c r="C915" s="321">
        <v>898</v>
      </c>
      <c r="D915" s="168">
        <v>0</v>
      </c>
      <c r="E915" s="17"/>
      <c r="F915" s="13"/>
      <c r="G915" s="13"/>
    </row>
    <row r="916" spans="1:7" ht="24.9" customHeight="1" x14ac:dyDescent="0.25">
      <c r="A916" s="220">
        <v>26772</v>
      </c>
      <c r="B916" s="221" t="s">
        <v>4147</v>
      </c>
      <c r="C916" s="322">
        <v>899</v>
      </c>
      <c r="D916" s="257">
        <v>0</v>
      </c>
      <c r="E916" s="17"/>
      <c r="F916" s="13"/>
      <c r="G916" s="13"/>
    </row>
    <row r="917" spans="1:7" ht="5.0999999999999996" customHeight="1" x14ac:dyDescent="0.25"/>
  </sheetData>
  <sheetProtection password="C79A" sheet="1" objects="1" scenarios="1"/>
  <mergeCells count="14">
    <mergeCell ref="A1:B1"/>
    <mergeCell ref="E2:F2"/>
    <mergeCell ref="C1:F1"/>
    <mergeCell ref="A2:D2"/>
    <mergeCell ref="A3:D3"/>
    <mergeCell ref="B4:F4"/>
    <mergeCell ref="B5:F5"/>
    <mergeCell ref="B6:F6"/>
    <mergeCell ref="B7:F7"/>
    <mergeCell ref="A878:D878"/>
    <mergeCell ref="A262:F262"/>
    <mergeCell ref="A11:F11"/>
    <mergeCell ref="A396:F396"/>
    <mergeCell ref="A620:F620"/>
  </mergeCells>
  <phoneticPr fontId="10" type="noConversion"/>
  <conditionalFormatting sqref="C8">
    <cfRule type="cellIs" dxfId="12" priority="1" stopIfTrue="1" operator="equal">
      <formula>"Obrazac ima još nezadovoljenih kontrola, provjerite radni list Kontrole"</formula>
    </cfRule>
  </conditionalFormatting>
  <conditionalFormatting sqref="A3 E3:F3">
    <cfRule type="cellIs" dxfId="11" priority="2" stopIfTrue="1" operator="equal">
      <formula>"za odabrano razdoblje i razinu obrazac se ne popunjava"</formula>
    </cfRule>
  </conditionalFormatting>
  <dataValidations count="2">
    <dataValidation type="whole" operator="greaterThanOrEqual" allowBlank="1" showErrorMessage="1" errorTitle="Neispravan iznos" error="Vrijednost mora biti cjelobrojna numerička veća ili jednaka nuli" sqref="D383:E395 D375:E375 D377:E377 D379:E379 D381:E381 D397:E410 D604:E604 D452:E468 D470:E513 D519:E519 D526:E526 D531:E531 D539:E540 D543:E543 D546:E546 D549:E549 D552:E553 D557:E557 D559:E559 D562:E562 D565:E566 D571:E571 D577:E577 D575:E575 D412:E450 D589:E589 D597:E598 D601:E601 D584:E584">
      <formula1>0</formula1>
    </dataValidation>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881:D916 D397:E619 D263:E395 D12:E261 D621:E877">
      <formula1>9999999999</formula1>
    </dataValidation>
  </dataValidations>
  <hyperlinks>
    <hyperlink ref="A1:B1" location="RefStr!A1" tooltip="Povratak na referentntu stranicu" display="&lt;–––– Povratak na RefStr"/>
    <hyperlink ref="C1:F1" location="Kont!A26"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80" fitToHeight="0" orientation="portrait" r:id="rId1"/>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G412"/>
  <sheetViews>
    <sheetView showGridLines="0" showRowColHeaders="0" workbookViewId="0">
      <selection activeCell="C1" sqref="C1:D1"/>
    </sheetView>
  </sheetViews>
  <sheetFormatPr defaultColWidth="0" defaultRowHeight="13.2" zeroHeight="1" x14ac:dyDescent="0.25"/>
  <cols>
    <col min="1" max="1" width="7.6640625" style="4" customWidth="1"/>
    <col min="2" max="2" width="85.6640625" style="4" customWidth="1"/>
    <col min="3" max="3" width="4.33203125" style="4" customWidth="1"/>
    <col min="4" max="4" width="15.6640625" style="4" customWidth="1"/>
    <col min="5" max="5" width="0.88671875" style="4" hidden="1" customWidth="1"/>
    <col min="6" max="6" width="9.109375" style="4" hidden="1" customWidth="1"/>
    <col min="7" max="7" width="0.88671875" style="4" customWidth="1"/>
    <col min="8" max="16384" width="9.109375" style="4" hidden="1"/>
  </cols>
  <sheetData>
    <row r="1" spans="1:6" s="1" customFormat="1" ht="20.100000000000001" customHeight="1" thickBot="1" x14ac:dyDescent="0.3">
      <c r="A1" s="553" t="s">
        <v>4155</v>
      </c>
      <c r="B1" s="554"/>
      <c r="C1" s="557" t="s">
        <v>2165</v>
      </c>
      <c r="D1" s="558"/>
    </row>
    <row r="2" spans="1:6" s="3" customFormat="1" ht="39.9" customHeight="1" thickBot="1" x14ac:dyDescent="0.3">
      <c r="A2" s="551" t="s">
        <v>1376</v>
      </c>
      <c r="B2" s="552"/>
      <c r="C2" s="555" t="s">
        <v>1092</v>
      </c>
      <c r="D2" s="556"/>
    </row>
    <row r="3" spans="1:6" ht="30" customHeight="1" x14ac:dyDescent="0.25">
      <c r="A3" s="559" t="str">
        <f>IF(RefStr!F6&lt;&gt;"",LOOKUP(RefStr!F6,RefStr!N40:N64,RefStr!Q40:Q64)," - razdoblje izvještavanja nije odabrano - ")</f>
        <v>za razdoblje 1. siječnja do 31. prosinca 2014. godine</v>
      </c>
      <c r="B3" s="560"/>
      <c r="C3" s="25"/>
      <c r="D3" s="26"/>
    </row>
    <row r="4" spans="1:6" ht="15" customHeight="1" x14ac:dyDescent="0.25">
      <c r="A4" s="59" t="s">
        <v>3293</v>
      </c>
      <c r="B4" s="528" t="str">
        <f xml:space="preserve"> "RKP: " &amp; TEXT(INT(VALUE(RefStr!B6)),"00000") &amp; ",  " &amp; "MB: " &amp; TEXT(INT(VALUE(RefStr!B8)), "00000000") &amp; "  " &amp; RefStr!B10</f>
        <v>RKP: 281186,  MB: 02745658  OPĆINA SOKOLOVAC</v>
      </c>
      <c r="C4" s="529"/>
      <c r="D4" s="529"/>
      <c r="E4" s="529"/>
      <c r="F4" s="529"/>
    </row>
    <row r="5" spans="1:6" ht="15" customHeight="1" x14ac:dyDescent="0.25">
      <c r="A5" s="62"/>
      <c r="B5" s="528" t="str">
        <f>RefStr!B12 &amp; " " &amp; RefStr!C12 &amp; ", " &amp; RefStr!B14</f>
        <v>48306 Sokolovac, Trg dr. Bardeka 8</v>
      </c>
      <c r="C5" s="529"/>
      <c r="D5" s="529"/>
      <c r="E5" s="529"/>
      <c r="F5" s="529"/>
    </row>
    <row r="6" spans="1:6" ht="15" customHeight="1" x14ac:dyDescent="0.25">
      <c r="A6" s="63"/>
      <c r="B6" s="530" t="str">
        <f xml:space="preserve"> "Razina: " &amp; RefStr!B16 &amp; ", Razdjel: " &amp; TEXT(INT(VALUE(RefStr!B20)), "000")</f>
        <v>Razina: 22, Razdjel: 000</v>
      </c>
      <c r="C6" s="531"/>
      <c r="D6" s="531"/>
      <c r="E6" s="531"/>
      <c r="F6" s="531"/>
    </row>
    <row r="7" spans="1:6" ht="15" customHeight="1" x14ac:dyDescent="0.25">
      <c r="A7" s="63"/>
      <c r="B7" s="530" t="str">
        <f>"Djelatnost: " &amp; RefStr!B18 &amp; " " &amp; RefStr!C18</f>
        <v>Djelatnost: 8411 Opće djelatnosti javne uprave</v>
      </c>
      <c r="C7" s="531"/>
      <c r="D7" s="531"/>
      <c r="E7" s="531"/>
      <c r="F7" s="531"/>
    </row>
    <row r="8" spans="1:6" ht="15" customHeight="1" x14ac:dyDescent="0.25">
      <c r="A8" s="63"/>
      <c r="B8" s="370"/>
      <c r="C8" s="371"/>
      <c r="D8" s="371"/>
      <c r="E8" s="60"/>
      <c r="F8" s="61"/>
    </row>
    <row r="9" spans="1:6" ht="12.9" customHeight="1" x14ac:dyDescent="0.25">
      <c r="A9" s="11"/>
      <c r="B9" s="11"/>
      <c r="C9" s="5"/>
      <c r="D9" s="12" t="s">
        <v>286</v>
      </c>
    </row>
    <row r="10" spans="1:6" ht="36.75" customHeight="1" x14ac:dyDescent="0.25">
      <c r="A10" s="19" t="s">
        <v>4069</v>
      </c>
      <c r="B10" s="21" t="s">
        <v>1770</v>
      </c>
      <c r="C10" s="21" t="s">
        <v>4501</v>
      </c>
      <c r="D10" s="19" t="s">
        <v>4374</v>
      </c>
    </row>
    <row r="11" spans="1:6" ht="12" customHeight="1" x14ac:dyDescent="0.25">
      <c r="A11" s="99">
        <v>1</v>
      </c>
      <c r="B11" s="100">
        <v>2</v>
      </c>
      <c r="C11" s="100">
        <v>3</v>
      </c>
      <c r="D11" s="99">
        <v>4</v>
      </c>
    </row>
    <row r="12" spans="1:6" ht="14.1" customHeight="1" x14ac:dyDescent="0.25">
      <c r="A12" s="201">
        <v>6</v>
      </c>
      <c r="B12" s="202" t="s">
        <v>4427</v>
      </c>
      <c r="C12" s="330">
        <v>1</v>
      </c>
      <c r="D12" s="203">
        <f>SUM(D13:D20)</f>
        <v>3203695</v>
      </c>
    </row>
    <row r="13" spans="1:6" ht="14.1" customHeight="1" x14ac:dyDescent="0.25">
      <c r="A13" s="166">
        <v>61</v>
      </c>
      <c r="B13" s="167" t="s">
        <v>1377</v>
      </c>
      <c r="C13" s="331">
        <v>2</v>
      </c>
      <c r="D13" s="168">
        <v>1233361</v>
      </c>
    </row>
    <row r="14" spans="1:6" ht="14.1" customHeight="1" x14ac:dyDescent="0.25">
      <c r="A14" s="166">
        <v>62</v>
      </c>
      <c r="B14" s="167" t="s">
        <v>3686</v>
      </c>
      <c r="C14" s="331">
        <v>3</v>
      </c>
      <c r="D14" s="168">
        <v>0</v>
      </c>
    </row>
    <row r="15" spans="1:6" ht="14.1" customHeight="1" x14ac:dyDescent="0.25">
      <c r="A15" s="166">
        <v>63</v>
      </c>
      <c r="B15" s="167" t="s">
        <v>4428</v>
      </c>
      <c r="C15" s="331">
        <v>4</v>
      </c>
      <c r="D15" s="168">
        <v>620733</v>
      </c>
    </row>
    <row r="16" spans="1:6" ht="14.1" customHeight="1" x14ac:dyDescent="0.25">
      <c r="A16" s="166">
        <v>64</v>
      </c>
      <c r="B16" s="167" t="s">
        <v>3687</v>
      </c>
      <c r="C16" s="331">
        <v>5</v>
      </c>
      <c r="D16" s="168">
        <v>651928</v>
      </c>
    </row>
    <row r="17" spans="1:4" ht="14.1" customHeight="1" x14ac:dyDescent="0.25">
      <c r="A17" s="166">
        <v>65</v>
      </c>
      <c r="B17" s="167" t="s">
        <v>1978</v>
      </c>
      <c r="C17" s="331">
        <v>6</v>
      </c>
      <c r="D17" s="168">
        <v>697673</v>
      </c>
    </row>
    <row r="18" spans="1:4" ht="14.1" customHeight="1" x14ac:dyDescent="0.25">
      <c r="A18" s="166">
        <v>66</v>
      </c>
      <c r="B18" s="167" t="s">
        <v>1979</v>
      </c>
      <c r="C18" s="331">
        <v>7</v>
      </c>
      <c r="D18" s="168">
        <v>0</v>
      </c>
    </row>
    <row r="19" spans="1:4" ht="14.1" customHeight="1" x14ac:dyDescent="0.25">
      <c r="A19" s="166">
        <v>67</v>
      </c>
      <c r="B19" s="167" t="s">
        <v>1980</v>
      </c>
      <c r="C19" s="331">
        <v>8</v>
      </c>
      <c r="D19" s="168">
        <v>0</v>
      </c>
    </row>
    <row r="20" spans="1:4" ht="14.1" customHeight="1" x14ac:dyDescent="0.25">
      <c r="A20" s="166">
        <v>68</v>
      </c>
      <c r="B20" s="167" t="s">
        <v>1981</v>
      </c>
      <c r="C20" s="331">
        <v>9</v>
      </c>
      <c r="D20" s="168">
        <v>0</v>
      </c>
    </row>
    <row r="21" spans="1:4" ht="14.1" customHeight="1" x14ac:dyDescent="0.25">
      <c r="A21" s="166">
        <v>3</v>
      </c>
      <c r="B21" s="167" t="s">
        <v>3335</v>
      </c>
      <c r="C21" s="331">
        <v>10</v>
      </c>
      <c r="D21" s="169">
        <f>D22+D34+D67+D86+D94+D106+D113</f>
        <v>3147531</v>
      </c>
    </row>
    <row r="22" spans="1:4" ht="14.1" customHeight="1" x14ac:dyDescent="0.25">
      <c r="A22" s="166">
        <v>31</v>
      </c>
      <c r="B22" s="167" t="s">
        <v>3336</v>
      </c>
      <c r="C22" s="331">
        <v>11</v>
      </c>
      <c r="D22" s="169">
        <f>D23+D28+D30</f>
        <v>377062</v>
      </c>
    </row>
    <row r="23" spans="1:4" ht="14.1" customHeight="1" x14ac:dyDescent="0.25">
      <c r="A23" s="166">
        <v>311</v>
      </c>
      <c r="B23" s="167" t="s">
        <v>3337</v>
      </c>
      <c r="C23" s="331">
        <v>12</v>
      </c>
      <c r="D23" s="169">
        <f>SUM(D24:D27)</f>
        <v>309172</v>
      </c>
    </row>
    <row r="24" spans="1:4" ht="14.1" customHeight="1" x14ac:dyDescent="0.25">
      <c r="A24" s="166">
        <v>3111</v>
      </c>
      <c r="B24" s="167" t="s">
        <v>2389</v>
      </c>
      <c r="C24" s="331">
        <v>13</v>
      </c>
      <c r="D24" s="168">
        <v>308342</v>
      </c>
    </row>
    <row r="25" spans="1:4" ht="14.1" customHeight="1" x14ac:dyDescent="0.25">
      <c r="A25" s="166">
        <v>3112</v>
      </c>
      <c r="B25" s="167" t="s">
        <v>2390</v>
      </c>
      <c r="C25" s="331">
        <v>14</v>
      </c>
      <c r="D25" s="168">
        <v>0</v>
      </c>
    </row>
    <row r="26" spans="1:4" ht="14.1" customHeight="1" x14ac:dyDescent="0.25">
      <c r="A26" s="166">
        <v>3113</v>
      </c>
      <c r="B26" s="167" t="s">
        <v>2391</v>
      </c>
      <c r="C26" s="331">
        <v>15</v>
      </c>
      <c r="D26" s="168">
        <v>830</v>
      </c>
    </row>
    <row r="27" spans="1:4" ht="14.1" customHeight="1" x14ac:dyDescent="0.25">
      <c r="A27" s="166">
        <v>3114</v>
      </c>
      <c r="B27" s="167" t="s">
        <v>2392</v>
      </c>
      <c r="C27" s="331">
        <v>16</v>
      </c>
      <c r="D27" s="168">
        <v>0</v>
      </c>
    </row>
    <row r="28" spans="1:4" ht="14.1" customHeight="1" x14ac:dyDescent="0.25">
      <c r="A28" s="166">
        <v>312</v>
      </c>
      <c r="B28" s="167" t="s">
        <v>3338</v>
      </c>
      <c r="C28" s="331">
        <v>17</v>
      </c>
      <c r="D28" s="169">
        <f>D29</f>
        <v>16800</v>
      </c>
    </row>
    <row r="29" spans="1:4" ht="14.1" customHeight="1" x14ac:dyDescent="0.25">
      <c r="A29" s="166">
        <v>3121</v>
      </c>
      <c r="B29" s="167" t="s">
        <v>2394</v>
      </c>
      <c r="C29" s="331">
        <v>18</v>
      </c>
      <c r="D29" s="168">
        <v>16800</v>
      </c>
    </row>
    <row r="30" spans="1:4" ht="14.1" customHeight="1" x14ac:dyDescent="0.25">
      <c r="A30" s="166">
        <v>313</v>
      </c>
      <c r="B30" s="167" t="s">
        <v>3339</v>
      </c>
      <c r="C30" s="331">
        <v>19</v>
      </c>
      <c r="D30" s="169">
        <f>SUM(D31:D33)</f>
        <v>51090</v>
      </c>
    </row>
    <row r="31" spans="1:4" ht="14.1" customHeight="1" x14ac:dyDescent="0.25">
      <c r="A31" s="166">
        <v>3131</v>
      </c>
      <c r="B31" s="167" t="s">
        <v>290</v>
      </c>
      <c r="C31" s="331">
        <v>20</v>
      </c>
      <c r="D31" s="168">
        <v>0</v>
      </c>
    </row>
    <row r="32" spans="1:4" ht="14.1" customHeight="1" x14ac:dyDescent="0.25">
      <c r="A32" s="166">
        <v>3132</v>
      </c>
      <c r="B32" s="167" t="s">
        <v>2710</v>
      </c>
      <c r="C32" s="331">
        <v>21</v>
      </c>
      <c r="D32" s="168">
        <v>45919</v>
      </c>
    </row>
    <row r="33" spans="1:4" ht="14.1" customHeight="1" x14ac:dyDescent="0.25">
      <c r="A33" s="166">
        <v>3133</v>
      </c>
      <c r="B33" s="167" t="s">
        <v>3340</v>
      </c>
      <c r="C33" s="331">
        <v>22</v>
      </c>
      <c r="D33" s="168">
        <v>5171</v>
      </c>
    </row>
    <row r="34" spans="1:4" ht="14.1" customHeight="1" x14ac:dyDescent="0.25">
      <c r="A34" s="166">
        <v>32</v>
      </c>
      <c r="B34" s="167" t="s">
        <v>3341</v>
      </c>
      <c r="C34" s="331">
        <v>23</v>
      </c>
      <c r="D34" s="169">
        <f>D35+D40+D48+D58+D60</f>
        <v>974531</v>
      </c>
    </row>
    <row r="35" spans="1:4" ht="14.1" customHeight="1" x14ac:dyDescent="0.25">
      <c r="A35" s="166">
        <v>321</v>
      </c>
      <c r="B35" s="167" t="s">
        <v>3342</v>
      </c>
      <c r="C35" s="331">
        <v>24</v>
      </c>
      <c r="D35" s="169">
        <f>SUM(D36:D39)</f>
        <v>58694</v>
      </c>
    </row>
    <row r="36" spans="1:4" ht="14.1" customHeight="1" x14ac:dyDescent="0.25">
      <c r="A36" s="166">
        <v>3211</v>
      </c>
      <c r="B36" s="167" t="s">
        <v>2398</v>
      </c>
      <c r="C36" s="331">
        <v>25</v>
      </c>
      <c r="D36" s="168">
        <v>1691</v>
      </c>
    </row>
    <row r="37" spans="1:4" ht="14.1" customHeight="1" x14ac:dyDescent="0.25">
      <c r="A37" s="166">
        <v>3212</v>
      </c>
      <c r="B37" s="167" t="s">
        <v>161</v>
      </c>
      <c r="C37" s="331">
        <v>26</v>
      </c>
      <c r="D37" s="168">
        <v>57003</v>
      </c>
    </row>
    <row r="38" spans="1:4" ht="14.1" customHeight="1" x14ac:dyDescent="0.25">
      <c r="A38" s="166">
        <v>3213</v>
      </c>
      <c r="B38" s="167" t="s">
        <v>163</v>
      </c>
      <c r="C38" s="331">
        <v>27</v>
      </c>
      <c r="D38" s="168">
        <v>0</v>
      </c>
    </row>
    <row r="39" spans="1:4" ht="14.1" customHeight="1" x14ac:dyDescent="0.25">
      <c r="A39" s="166">
        <v>3214</v>
      </c>
      <c r="B39" s="167" t="s">
        <v>2713</v>
      </c>
      <c r="C39" s="331">
        <v>28</v>
      </c>
      <c r="D39" s="168">
        <v>0</v>
      </c>
    </row>
    <row r="40" spans="1:4" ht="14.1" customHeight="1" x14ac:dyDescent="0.25">
      <c r="A40" s="166">
        <v>322</v>
      </c>
      <c r="B40" s="167" t="s">
        <v>3343</v>
      </c>
      <c r="C40" s="331">
        <v>29</v>
      </c>
      <c r="D40" s="169">
        <f>SUM(D41:D47)</f>
        <v>250939</v>
      </c>
    </row>
    <row r="41" spans="1:4" ht="14.1" customHeight="1" x14ac:dyDescent="0.25">
      <c r="A41" s="166">
        <v>3221</v>
      </c>
      <c r="B41" s="167" t="s">
        <v>291</v>
      </c>
      <c r="C41" s="331">
        <v>30</v>
      </c>
      <c r="D41" s="168">
        <v>11470</v>
      </c>
    </row>
    <row r="42" spans="1:4" ht="14.1" customHeight="1" x14ac:dyDescent="0.25">
      <c r="A42" s="166">
        <v>3222</v>
      </c>
      <c r="B42" s="167" t="s">
        <v>167</v>
      </c>
      <c r="C42" s="331">
        <v>31</v>
      </c>
      <c r="D42" s="168">
        <v>0</v>
      </c>
    </row>
    <row r="43" spans="1:4" ht="14.1" customHeight="1" x14ac:dyDescent="0.25">
      <c r="A43" s="166">
        <v>3223</v>
      </c>
      <c r="B43" s="167" t="s">
        <v>169</v>
      </c>
      <c r="C43" s="331">
        <v>32</v>
      </c>
      <c r="D43" s="168">
        <v>202914</v>
      </c>
    </row>
    <row r="44" spans="1:4" ht="14.1" customHeight="1" x14ac:dyDescent="0.25">
      <c r="A44" s="166">
        <v>3224</v>
      </c>
      <c r="B44" s="167" t="s">
        <v>292</v>
      </c>
      <c r="C44" s="331">
        <v>33</v>
      </c>
      <c r="D44" s="168">
        <v>34423</v>
      </c>
    </row>
    <row r="45" spans="1:4" ht="14.1" customHeight="1" x14ac:dyDescent="0.25">
      <c r="A45" s="166">
        <v>3225</v>
      </c>
      <c r="B45" s="167" t="s">
        <v>3090</v>
      </c>
      <c r="C45" s="331">
        <v>34</v>
      </c>
      <c r="D45" s="168">
        <v>2132</v>
      </c>
    </row>
    <row r="46" spans="1:4" ht="14.1" customHeight="1" x14ac:dyDescent="0.25">
      <c r="A46" s="166">
        <v>3226</v>
      </c>
      <c r="B46" s="167" t="s">
        <v>3092</v>
      </c>
      <c r="C46" s="331">
        <v>35</v>
      </c>
      <c r="D46" s="168">
        <v>0</v>
      </c>
    </row>
    <row r="47" spans="1:4" ht="14.1" customHeight="1" x14ac:dyDescent="0.25">
      <c r="A47" s="166">
        <v>3227</v>
      </c>
      <c r="B47" s="167" t="s">
        <v>2715</v>
      </c>
      <c r="C47" s="331">
        <v>36</v>
      </c>
      <c r="D47" s="168">
        <v>0</v>
      </c>
    </row>
    <row r="48" spans="1:4" ht="14.1" customHeight="1" x14ac:dyDescent="0.25">
      <c r="A48" s="166">
        <v>323</v>
      </c>
      <c r="B48" s="167" t="s">
        <v>3344</v>
      </c>
      <c r="C48" s="331">
        <v>37</v>
      </c>
      <c r="D48" s="169">
        <f>SUM(D49:D57)</f>
        <v>455840</v>
      </c>
    </row>
    <row r="49" spans="1:4" ht="14.1" customHeight="1" x14ac:dyDescent="0.25">
      <c r="A49" s="166">
        <v>3231</v>
      </c>
      <c r="B49" s="167" t="s">
        <v>1470</v>
      </c>
      <c r="C49" s="331">
        <v>38</v>
      </c>
      <c r="D49" s="168">
        <v>11882</v>
      </c>
    </row>
    <row r="50" spans="1:4" ht="14.1" customHeight="1" x14ac:dyDescent="0.25">
      <c r="A50" s="166">
        <v>3232</v>
      </c>
      <c r="B50" s="167" t="s">
        <v>1471</v>
      </c>
      <c r="C50" s="331">
        <v>39</v>
      </c>
      <c r="D50" s="168">
        <v>343257</v>
      </c>
    </row>
    <row r="51" spans="1:4" ht="14.1" customHeight="1" x14ac:dyDescent="0.25">
      <c r="A51" s="166">
        <v>3233</v>
      </c>
      <c r="B51" s="167" t="s">
        <v>1472</v>
      </c>
      <c r="C51" s="331">
        <v>40</v>
      </c>
      <c r="D51" s="168">
        <v>4188</v>
      </c>
    </row>
    <row r="52" spans="1:4" ht="14.1" customHeight="1" x14ac:dyDescent="0.25">
      <c r="A52" s="166">
        <v>3234</v>
      </c>
      <c r="B52" s="167" t="s">
        <v>1473</v>
      </c>
      <c r="C52" s="331">
        <v>41</v>
      </c>
      <c r="D52" s="168">
        <v>29839</v>
      </c>
    </row>
    <row r="53" spans="1:4" ht="14.1" customHeight="1" x14ac:dyDescent="0.25">
      <c r="A53" s="166">
        <v>3235</v>
      </c>
      <c r="B53" s="167" t="s">
        <v>1474</v>
      </c>
      <c r="C53" s="331">
        <v>42</v>
      </c>
      <c r="D53" s="168">
        <v>0</v>
      </c>
    </row>
    <row r="54" spans="1:4" ht="14.1" customHeight="1" x14ac:dyDescent="0.25">
      <c r="A54" s="166">
        <v>3236</v>
      </c>
      <c r="B54" s="167" t="s">
        <v>1475</v>
      </c>
      <c r="C54" s="331">
        <v>43</v>
      </c>
      <c r="D54" s="168">
        <v>31028</v>
      </c>
    </row>
    <row r="55" spans="1:4" ht="14.1" customHeight="1" x14ac:dyDescent="0.25">
      <c r="A55" s="166">
        <v>3237</v>
      </c>
      <c r="B55" s="167" t="s">
        <v>1477</v>
      </c>
      <c r="C55" s="331">
        <v>44</v>
      </c>
      <c r="D55" s="168">
        <v>35646</v>
      </c>
    </row>
    <row r="56" spans="1:4" ht="14.1" customHeight="1" x14ac:dyDescent="0.25">
      <c r="A56" s="166">
        <v>3238</v>
      </c>
      <c r="B56" s="167" t="s">
        <v>396</v>
      </c>
      <c r="C56" s="331">
        <v>45</v>
      </c>
      <c r="D56" s="168">
        <v>0</v>
      </c>
    </row>
    <row r="57" spans="1:4" ht="14.1" customHeight="1" x14ac:dyDescent="0.25">
      <c r="A57" s="166">
        <v>3239</v>
      </c>
      <c r="B57" s="167" t="s">
        <v>397</v>
      </c>
      <c r="C57" s="331">
        <v>46</v>
      </c>
      <c r="D57" s="168">
        <v>0</v>
      </c>
    </row>
    <row r="58" spans="1:4" ht="14.1" customHeight="1" x14ac:dyDescent="0.25">
      <c r="A58" s="166">
        <v>324</v>
      </c>
      <c r="B58" s="167" t="s">
        <v>3345</v>
      </c>
      <c r="C58" s="331">
        <v>47</v>
      </c>
      <c r="D58" s="169">
        <f>D59</f>
        <v>0</v>
      </c>
    </row>
    <row r="59" spans="1:4" ht="14.1" customHeight="1" x14ac:dyDescent="0.25">
      <c r="A59" s="166">
        <v>3241</v>
      </c>
      <c r="B59" s="167" t="s">
        <v>2718</v>
      </c>
      <c r="C59" s="331">
        <v>48</v>
      </c>
      <c r="D59" s="168">
        <v>0</v>
      </c>
    </row>
    <row r="60" spans="1:4" ht="14.1" customHeight="1" x14ac:dyDescent="0.25">
      <c r="A60" s="166">
        <v>329</v>
      </c>
      <c r="B60" s="167" t="s">
        <v>3346</v>
      </c>
      <c r="C60" s="331">
        <v>49</v>
      </c>
      <c r="D60" s="169">
        <f>SUM(D61:D66)</f>
        <v>209058</v>
      </c>
    </row>
    <row r="61" spans="1:4" ht="14.1" customHeight="1" x14ac:dyDescent="0.25">
      <c r="A61" s="166">
        <v>3291</v>
      </c>
      <c r="B61" s="167" t="s">
        <v>704</v>
      </c>
      <c r="C61" s="331">
        <v>50</v>
      </c>
      <c r="D61" s="168">
        <v>177665</v>
      </c>
    </row>
    <row r="62" spans="1:4" ht="14.1" customHeight="1" x14ac:dyDescent="0.25">
      <c r="A62" s="166">
        <v>3292</v>
      </c>
      <c r="B62" s="167" t="s">
        <v>706</v>
      </c>
      <c r="C62" s="331">
        <v>51</v>
      </c>
      <c r="D62" s="168">
        <v>0</v>
      </c>
    </row>
    <row r="63" spans="1:4" ht="14.1" customHeight="1" x14ac:dyDescent="0.25">
      <c r="A63" s="166">
        <v>3293</v>
      </c>
      <c r="B63" s="167" t="s">
        <v>708</v>
      </c>
      <c r="C63" s="331">
        <v>52</v>
      </c>
      <c r="D63" s="168">
        <v>14518</v>
      </c>
    </row>
    <row r="64" spans="1:4" ht="14.1" customHeight="1" x14ac:dyDescent="0.25">
      <c r="A64" s="166">
        <v>3294</v>
      </c>
      <c r="B64" s="167" t="s">
        <v>710</v>
      </c>
      <c r="C64" s="331">
        <v>53</v>
      </c>
      <c r="D64" s="168">
        <v>2000</v>
      </c>
    </row>
    <row r="65" spans="1:4" ht="14.1" customHeight="1" x14ac:dyDescent="0.25">
      <c r="A65" s="166">
        <v>3295</v>
      </c>
      <c r="B65" s="167" t="s">
        <v>2720</v>
      </c>
      <c r="C65" s="331">
        <v>54</v>
      </c>
      <c r="D65" s="168">
        <v>0</v>
      </c>
    </row>
    <row r="66" spans="1:4" ht="14.1" customHeight="1" x14ac:dyDescent="0.25">
      <c r="A66" s="166">
        <v>3299</v>
      </c>
      <c r="B66" s="167" t="s">
        <v>277</v>
      </c>
      <c r="C66" s="331">
        <v>55</v>
      </c>
      <c r="D66" s="168">
        <v>14875</v>
      </c>
    </row>
    <row r="67" spans="1:4" ht="14.1" customHeight="1" x14ac:dyDescent="0.25">
      <c r="A67" s="166">
        <v>34</v>
      </c>
      <c r="B67" s="167" t="s">
        <v>3347</v>
      </c>
      <c r="C67" s="331">
        <v>56</v>
      </c>
      <c r="D67" s="169">
        <f>D68+D73+D81</f>
        <v>14996</v>
      </c>
    </row>
    <row r="68" spans="1:4" ht="14.1" customHeight="1" x14ac:dyDescent="0.25">
      <c r="A68" s="166">
        <v>341</v>
      </c>
      <c r="B68" s="167" t="s">
        <v>3348</v>
      </c>
      <c r="C68" s="331">
        <v>57</v>
      </c>
      <c r="D68" s="169">
        <f>SUM(D69:D72)</f>
        <v>0</v>
      </c>
    </row>
    <row r="69" spans="1:4" ht="14.1" customHeight="1" x14ac:dyDescent="0.25">
      <c r="A69" s="166">
        <v>3411</v>
      </c>
      <c r="B69" s="167" t="s">
        <v>713</v>
      </c>
      <c r="C69" s="331">
        <v>58</v>
      </c>
      <c r="D69" s="168">
        <v>0</v>
      </c>
    </row>
    <row r="70" spans="1:4" ht="14.1" customHeight="1" x14ac:dyDescent="0.25">
      <c r="A70" s="166">
        <v>3412</v>
      </c>
      <c r="B70" s="167" t="s">
        <v>714</v>
      </c>
      <c r="C70" s="331">
        <v>59</v>
      </c>
      <c r="D70" s="168">
        <v>0</v>
      </c>
    </row>
    <row r="71" spans="1:4" ht="14.1" customHeight="1" x14ac:dyDescent="0.25">
      <c r="A71" s="166">
        <v>3413</v>
      </c>
      <c r="B71" s="167" t="s">
        <v>3096</v>
      </c>
      <c r="C71" s="331">
        <v>60</v>
      </c>
      <c r="D71" s="168">
        <v>0</v>
      </c>
    </row>
    <row r="72" spans="1:4" ht="14.1" customHeight="1" x14ac:dyDescent="0.25">
      <c r="A72" s="166">
        <v>3419</v>
      </c>
      <c r="B72" s="167" t="s">
        <v>3097</v>
      </c>
      <c r="C72" s="331">
        <v>61</v>
      </c>
      <c r="D72" s="168">
        <v>0</v>
      </c>
    </row>
    <row r="73" spans="1:4" ht="14.1" customHeight="1" x14ac:dyDescent="0.25">
      <c r="A73" s="166">
        <v>342</v>
      </c>
      <c r="B73" s="167" t="s">
        <v>3349</v>
      </c>
      <c r="C73" s="331">
        <v>62</v>
      </c>
      <c r="D73" s="169">
        <f>SUM(D74:D80)</f>
        <v>0</v>
      </c>
    </row>
    <row r="74" spans="1:4" ht="14.1" customHeight="1" x14ac:dyDescent="0.25">
      <c r="A74" s="166">
        <v>3421</v>
      </c>
      <c r="B74" s="170" t="s">
        <v>3350</v>
      </c>
      <c r="C74" s="331">
        <v>63</v>
      </c>
      <c r="D74" s="168">
        <v>0</v>
      </c>
    </row>
    <row r="75" spans="1:4" ht="14.1" customHeight="1" x14ac:dyDescent="0.25">
      <c r="A75" s="166">
        <v>3422</v>
      </c>
      <c r="B75" s="167" t="s">
        <v>2725</v>
      </c>
      <c r="C75" s="331">
        <v>64</v>
      </c>
      <c r="D75" s="168">
        <v>0</v>
      </c>
    </row>
    <row r="76" spans="1:4" ht="14.1" customHeight="1" x14ac:dyDescent="0.25">
      <c r="A76" s="166">
        <v>3423</v>
      </c>
      <c r="B76" s="167" t="s">
        <v>2726</v>
      </c>
      <c r="C76" s="331">
        <v>65</v>
      </c>
      <c r="D76" s="168">
        <v>0</v>
      </c>
    </row>
    <row r="77" spans="1:4" ht="14.1" customHeight="1" x14ac:dyDescent="0.25">
      <c r="A77" s="166">
        <v>3425</v>
      </c>
      <c r="B77" s="167" t="s">
        <v>2727</v>
      </c>
      <c r="C77" s="331">
        <v>66</v>
      </c>
      <c r="D77" s="168">
        <v>0</v>
      </c>
    </row>
    <row r="78" spans="1:4" ht="14.1" customHeight="1" x14ac:dyDescent="0.25">
      <c r="A78" s="166">
        <v>3426</v>
      </c>
      <c r="B78" s="167" t="s">
        <v>2728</v>
      </c>
      <c r="C78" s="331">
        <v>67</v>
      </c>
      <c r="D78" s="168">
        <v>0</v>
      </c>
    </row>
    <row r="79" spans="1:4" ht="14.1" customHeight="1" x14ac:dyDescent="0.25">
      <c r="A79" s="166">
        <v>3427</v>
      </c>
      <c r="B79" s="167" t="s">
        <v>2729</v>
      </c>
      <c r="C79" s="331">
        <v>68</v>
      </c>
      <c r="D79" s="168">
        <v>0</v>
      </c>
    </row>
    <row r="80" spans="1:4" ht="14.1" customHeight="1" x14ac:dyDescent="0.25">
      <c r="A80" s="166">
        <v>3428</v>
      </c>
      <c r="B80" s="167" t="s">
        <v>3751</v>
      </c>
      <c r="C80" s="331">
        <v>69</v>
      </c>
      <c r="D80" s="168">
        <v>0</v>
      </c>
    </row>
    <row r="81" spans="1:4" ht="14.1" customHeight="1" x14ac:dyDescent="0.25">
      <c r="A81" s="166">
        <v>343</v>
      </c>
      <c r="B81" s="167" t="s">
        <v>3351</v>
      </c>
      <c r="C81" s="331">
        <v>70</v>
      </c>
      <c r="D81" s="169">
        <f>SUM(D82:D85)</f>
        <v>14996</v>
      </c>
    </row>
    <row r="82" spans="1:4" ht="14.1" customHeight="1" x14ac:dyDescent="0.25">
      <c r="A82" s="166">
        <v>3431</v>
      </c>
      <c r="B82" s="167" t="s">
        <v>3658</v>
      </c>
      <c r="C82" s="331">
        <v>71</v>
      </c>
      <c r="D82" s="168">
        <v>8840</v>
      </c>
    </row>
    <row r="83" spans="1:4" ht="14.1" customHeight="1" x14ac:dyDescent="0.25">
      <c r="A83" s="166">
        <v>3432</v>
      </c>
      <c r="B83" s="167" t="s">
        <v>2731</v>
      </c>
      <c r="C83" s="331">
        <v>72</v>
      </c>
      <c r="D83" s="168">
        <v>0</v>
      </c>
    </row>
    <row r="84" spans="1:4" ht="14.1" customHeight="1" x14ac:dyDescent="0.25">
      <c r="A84" s="166">
        <v>3433</v>
      </c>
      <c r="B84" s="167" t="s">
        <v>1253</v>
      </c>
      <c r="C84" s="331">
        <v>73</v>
      </c>
      <c r="D84" s="168">
        <v>27</v>
      </c>
    </row>
    <row r="85" spans="1:4" ht="14.1" customHeight="1" x14ac:dyDescent="0.25">
      <c r="A85" s="166">
        <v>3434</v>
      </c>
      <c r="B85" s="167" t="s">
        <v>262</v>
      </c>
      <c r="C85" s="331">
        <v>74</v>
      </c>
      <c r="D85" s="168">
        <v>6129</v>
      </c>
    </row>
    <row r="86" spans="1:4" ht="14.1" customHeight="1" x14ac:dyDescent="0.25">
      <c r="A86" s="166">
        <v>35</v>
      </c>
      <c r="B86" s="167" t="s">
        <v>3352</v>
      </c>
      <c r="C86" s="331">
        <v>75</v>
      </c>
      <c r="D86" s="169">
        <f>D87+D90</f>
        <v>205133</v>
      </c>
    </row>
    <row r="87" spans="1:4" ht="14.1" customHeight="1" x14ac:dyDescent="0.25">
      <c r="A87" s="166">
        <v>351</v>
      </c>
      <c r="B87" s="167" t="s">
        <v>3353</v>
      </c>
      <c r="C87" s="331">
        <v>76</v>
      </c>
      <c r="D87" s="169">
        <f>SUM(D88:D89)</f>
        <v>0</v>
      </c>
    </row>
    <row r="88" spans="1:4" ht="14.1" customHeight="1" x14ac:dyDescent="0.25">
      <c r="A88" s="166">
        <v>3511</v>
      </c>
      <c r="B88" s="167" t="s">
        <v>2734</v>
      </c>
      <c r="C88" s="331">
        <v>77</v>
      </c>
      <c r="D88" s="168">
        <v>0</v>
      </c>
    </row>
    <row r="89" spans="1:4" ht="14.1" customHeight="1" x14ac:dyDescent="0.25">
      <c r="A89" s="166">
        <v>3512</v>
      </c>
      <c r="B89" s="167" t="s">
        <v>1839</v>
      </c>
      <c r="C89" s="331">
        <v>78</v>
      </c>
      <c r="D89" s="168">
        <v>0</v>
      </c>
    </row>
    <row r="90" spans="1:4" ht="14.1" customHeight="1" x14ac:dyDescent="0.25">
      <c r="A90" s="166">
        <v>352</v>
      </c>
      <c r="B90" s="167" t="s">
        <v>3354</v>
      </c>
      <c r="C90" s="331">
        <v>79</v>
      </c>
      <c r="D90" s="169">
        <f>SUM(D91:D93)</f>
        <v>205133</v>
      </c>
    </row>
    <row r="91" spans="1:4" ht="14.1" customHeight="1" x14ac:dyDescent="0.25">
      <c r="A91" s="166">
        <v>3521</v>
      </c>
      <c r="B91" s="167" t="s">
        <v>2735</v>
      </c>
      <c r="C91" s="331">
        <v>80</v>
      </c>
      <c r="D91" s="168">
        <v>0</v>
      </c>
    </row>
    <row r="92" spans="1:4" ht="14.1" customHeight="1" x14ac:dyDescent="0.25">
      <c r="A92" s="166">
        <v>3522</v>
      </c>
      <c r="B92" s="167" t="s">
        <v>1840</v>
      </c>
      <c r="C92" s="331">
        <v>81</v>
      </c>
      <c r="D92" s="168">
        <v>0</v>
      </c>
    </row>
    <row r="93" spans="1:4" ht="14.1" customHeight="1" x14ac:dyDescent="0.25">
      <c r="A93" s="166">
        <v>3523</v>
      </c>
      <c r="B93" s="167" t="s">
        <v>2736</v>
      </c>
      <c r="C93" s="331">
        <v>82</v>
      </c>
      <c r="D93" s="168">
        <v>205133</v>
      </c>
    </row>
    <row r="94" spans="1:4" ht="14.1" customHeight="1" x14ac:dyDescent="0.25">
      <c r="A94" s="166">
        <v>36</v>
      </c>
      <c r="B94" s="167" t="s">
        <v>3355</v>
      </c>
      <c r="C94" s="331">
        <v>83</v>
      </c>
      <c r="D94" s="169">
        <f>D95+D98+D101</f>
        <v>34881</v>
      </c>
    </row>
    <row r="95" spans="1:4" ht="14.1" customHeight="1" x14ac:dyDescent="0.25">
      <c r="A95" s="166">
        <v>361</v>
      </c>
      <c r="B95" s="167" t="s">
        <v>3356</v>
      </c>
      <c r="C95" s="331">
        <v>84</v>
      </c>
      <c r="D95" s="169">
        <f>SUM(D96:D97)</f>
        <v>0</v>
      </c>
    </row>
    <row r="96" spans="1:4" ht="14.1" customHeight="1" x14ac:dyDescent="0.25">
      <c r="A96" s="166">
        <v>3611</v>
      </c>
      <c r="B96" s="167" t="s">
        <v>1842</v>
      </c>
      <c r="C96" s="331">
        <v>85</v>
      </c>
      <c r="D96" s="168">
        <v>0</v>
      </c>
    </row>
    <row r="97" spans="1:4" ht="14.1" customHeight="1" x14ac:dyDescent="0.25">
      <c r="A97" s="166">
        <v>3612</v>
      </c>
      <c r="B97" s="167" t="s">
        <v>1843</v>
      </c>
      <c r="C97" s="331">
        <v>86</v>
      </c>
      <c r="D97" s="168">
        <v>0</v>
      </c>
    </row>
    <row r="98" spans="1:4" ht="14.1" customHeight="1" x14ac:dyDescent="0.25">
      <c r="A98" s="166">
        <v>362</v>
      </c>
      <c r="B98" s="167" t="s">
        <v>2752</v>
      </c>
      <c r="C98" s="331">
        <v>87</v>
      </c>
      <c r="D98" s="169">
        <f>SUM(D99:D100)</f>
        <v>0</v>
      </c>
    </row>
    <row r="99" spans="1:4" ht="14.1" customHeight="1" x14ac:dyDescent="0.25">
      <c r="A99" s="166">
        <v>3621</v>
      </c>
      <c r="B99" s="167" t="s">
        <v>2740</v>
      </c>
      <c r="C99" s="331">
        <v>88</v>
      </c>
      <c r="D99" s="168">
        <v>0</v>
      </c>
    </row>
    <row r="100" spans="1:4" ht="14.1" customHeight="1" x14ac:dyDescent="0.25">
      <c r="A100" s="166">
        <v>3622</v>
      </c>
      <c r="B100" s="167" t="s">
        <v>4102</v>
      </c>
      <c r="C100" s="331">
        <v>89</v>
      </c>
      <c r="D100" s="168">
        <v>0</v>
      </c>
    </row>
    <row r="101" spans="1:4" ht="14.1" customHeight="1" x14ac:dyDescent="0.25">
      <c r="A101" s="166">
        <v>363</v>
      </c>
      <c r="B101" s="167" t="s">
        <v>2753</v>
      </c>
      <c r="C101" s="331">
        <v>90</v>
      </c>
      <c r="D101" s="169">
        <f>SUM(D102:D105)</f>
        <v>34881</v>
      </c>
    </row>
    <row r="102" spans="1:4" ht="14.1" customHeight="1" x14ac:dyDescent="0.25">
      <c r="A102" s="166">
        <v>3631</v>
      </c>
      <c r="B102" s="167" t="s">
        <v>2887</v>
      </c>
      <c r="C102" s="331">
        <v>91</v>
      </c>
      <c r="D102" s="168">
        <v>34881</v>
      </c>
    </row>
    <row r="103" spans="1:4" ht="14.1" customHeight="1" x14ac:dyDescent="0.25">
      <c r="A103" s="166">
        <v>3632</v>
      </c>
      <c r="B103" s="167" t="s">
        <v>2888</v>
      </c>
      <c r="C103" s="331">
        <v>92</v>
      </c>
      <c r="D103" s="168">
        <v>0</v>
      </c>
    </row>
    <row r="104" spans="1:4" ht="14.1" customHeight="1" x14ac:dyDescent="0.25">
      <c r="A104" s="166">
        <v>3633</v>
      </c>
      <c r="B104" s="167" t="s">
        <v>2889</v>
      </c>
      <c r="C104" s="331">
        <v>93</v>
      </c>
      <c r="D104" s="168">
        <v>0</v>
      </c>
    </row>
    <row r="105" spans="1:4" ht="14.1" customHeight="1" x14ac:dyDescent="0.25">
      <c r="A105" s="166">
        <v>3634</v>
      </c>
      <c r="B105" s="167" t="s">
        <v>2890</v>
      </c>
      <c r="C105" s="331">
        <v>94</v>
      </c>
      <c r="D105" s="168">
        <v>0</v>
      </c>
    </row>
    <row r="106" spans="1:4" ht="14.1" customHeight="1" x14ac:dyDescent="0.25">
      <c r="A106" s="166">
        <v>37</v>
      </c>
      <c r="B106" s="167" t="s">
        <v>2754</v>
      </c>
      <c r="C106" s="331">
        <v>95</v>
      </c>
      <c r="D106" s="169">
        <f>D107+D110</f>
        <v>310960</v>
      </c>
    </row>
    <row r="107" spans="1:4" ht="14.1" customHeight="1" x14ac:dyDescent="0.25">
      <c r="A107" s="166">
        <v>371</v>
      </c>
      <c r="B107" s="167" t="s">
        <v>2755</v>
      </c>
      <c r="C107" s="331">
        <v>96</v>
      </c>
      <c r="D107" s="169">
        <f>SUM(D108:D109)</f>
        <v>0</v>
      </c>
    </row>
    <row r="108" spans="1:4" ht="14.1" customHeight="1" x14ac:dyDescent="0.25">
      <c r="A108" s="166">
        <v>3711</v>
      </c>
      <c r="B108" s="167" t="s">
        <v>4505</v>
      </c>
      <c r="C108" s="331">
        <v>97</v>
      </c>
      <c r="D108" s="168">
        <v>0</v>
      </c>
    </row>
    <row r="109" spans="1:4" ht="14.1" customHeight="1" x14ac:dyDescent="0.25">
      <c r="A109" s="166">
        <v>3712</v>
      </c>
      <c r="B109" s="167" t="s">
        <v>4506</v>
      </c>
      <c r="C109" s="331">
        <v>98</v>
      </c>
      <c r="D109" s="168">
        <v>0</v>
      </c>
    </row>
    <row r="110" spans="1:4" ht="14.1" customHeight="1" x14ac:dyDescent="0.25">
      <c r="A110" s="166">
        <v>372</v>
      </c>
      <c r="B110" s="167" t="s">
        <v>2756</v>
      </c>
      <c r="C110" s="331">
        <v>99</v>
      </c>
      <c r="D110" s="169">
        <f>SUM(D111:D112)</f>
        <v>310960</v>
      </c>
    </row>
    <row r="111" spans="1:4" ht="14.1" customHeight="1" x14ac:dyDescent="0.25">
      <c r="A111" s="166">
        <v>3721</v>
      </c>
      <c r="B111" s="167" t="s">
        <v>4507</v>
      </c>
      <c r="C111" s="331">
        <v>100</v>
      </c>
      <c r="D111" s="168">
        <v>30000</v>
      </c>
    </row>
    <row r="112" spans="1:4" ht="14.1" customHeight="1" x14ac:dyDescent="0.25">
      <c r="A112" s="166">
        <v>3722</v>
      </c>
      <c r="B112" s="167" t="s">
        <v>2757</v>
      </c>
      <c r="C112" s="331">
        <v>101</v>
      </c>
      <c r="D112" s="168">
        <v>280960</v>
      </c>
    </row>
    <row r="113" spans="1:4" ht="14.1" customHeight="1" x14ac:dyDescent="0.25">
      <c r="A113" s="166">
        <v>38</v>
      </c>
      <c r="B113" s="167" t="s">
        <v>2758</v>
      </c>
      <c r="C113" s="331">
        <v>102</v>
      </c>
      <c r="D113" s="169">
        <f>D114+D117+D120+D125</f>
        <v>1229968</v>
      </c>
    </row>
    <row r="114" spans="1:4" ht="14.1" customHeight="1" x14ac:dyDescent="0.25">
      <c r="A114" s="166">
        <v>381</v>
      </c>
      <c r="B114" s="167" t="s">
        <v>2759</v>
      </c>
      <c r="C114" s="331">
        <v>103</v>
      </c>
      <c r="D114" s="169">
        <f>SUM(D115:D116)</f>
        <v>284955</v>
      </c>
    </row>
    <row r="115" spans="1:4" ht="14.1" customHeight="1" x14ac:dyDescent="0.25">
      <c r="A115" s="166">
        <v>3811</v>
      </c>
      <c r="B115" s="167" t="s">
        <v>4457</v>
      </c>
      <c r="C115" s="331">
        <v>104</v>
      </c>
      <c r="D115" s="168">
        <v>284955</v>
      </c>
    </row>
    <row r="116" spans="1:4" ht="14.1" customHeight="1" x14ac:dyDescent="0.25">
      <c r="A116" s="166">
        <v>3812</v>
      </c>
      <c r="B116" s="167" t="s">
        <v>4458</v>
      </c>
      <c r="C116" s="331">
        <v>105</v>
      </c>
      <c r="D116" s="168">
        <v>0</v>
      </c>
    </row>
    <row r="117" spans="1:4" ht="14.1" customHeight="1" x14ac:dyDescent="0.25">
      <c r="A117" s="166">
        <v>382</v>
      </c>
      <c r="B117" s="167" t="s">
        <v>2760</v>
      </c>
      <c r="C117" s="331">
        <v>106</v>
      </c>
      <c r="D117" s="169">
        <f>SUM(D118:D119)</f>
        <v>0</v>
      </c>
    </row>
    <row r="118" spans="1:4" ht="14.1" customHeight="1" x14ac:dyDescent="0.25">
      <c r="A118" s="166">
        <v>3821</v>
      </c>
      <c r="B118" s="167" t="s">
        <v>4460</v>
      </c>
      <c r="C118" s="331">
        <v>107</v>
      </c>
      <c r="D118" s="168">
        <v>0</v>
      </c>
    </row>
    <row r="119" spans="1:4" ht="14.1" customHeight="1" x14ac:dyDescent="0.25">
      <c r="A119" s="166">
        <v>3822</v>
      </c>
      <c r="B119" s="167" t="s">
        <v>4461</v>
      </c>
      <c r="C119" s="331">
        <v>108</v>
      </c>
      <c r="D119" s="168">
        <v>0</v>
      </c>
    </row>
    <row r="120" spans="1:4" ht="14.1" customHeight="1" x14ac:dyDescent="0.25">
      <c r="A120" s="166">
        <v>383</v>
      </c>
      <c r="B120" s="167" t="s">
        <v>2761</v>
      </c>
      <c r="C120" s="331">
        <v>109</v>
      </c>
      <c r="D120" s="169">
        <f>SUM(D121:D124)</f>
        <v>0</v>
      </c>
    </row>
    <row r="121" spans="1:4" ht="14.1" customHeight="1" x14ac:dyDescent="0.25">
      <c r="A121" s="166">
        <v>3831</v>
      </c>
      <c r="B121" s="167" t="s">
        <v>4462</v>
      </c>
      <c r="C121" s="331">
        <v>110</v>
      </c>
      <c r="D121" s="168">
        <v>0</v>
      </c>
    </row>
    <row r="122" spans="1:4" ht="14.1" customHeight="1" x14ac:dyDescent="0.25">
      <c r="A122" s="166">
        <v>3832</v>
      </c>
      <c r="B122" s="167" t="s">
        <v>4463</v>
      </c>
      <c r="C122" s="331">
        <v>111</v>
      </c>
      <c r="D122" s="168">
        <v>0</v>
      </c>
    </row>
    <row r="123" spans="1:4" ht="14.1" customHeight="1" x14ac:dyDescent="0.25">
      <c r="A123" s="166">
        <v>3833</v>
      </c>
      <c r="B123" s="167" t="s">
        <v>2227</v>
      </c>
      <c r="C123" s="331">
        <v>112</v>
      </c>
      <c r="D123" s="168">
        <v>0</v>
      </c>
    </row>
    <row r="124" spans="1:4" ht="14.1" customHeight="1" x14ac:dyDescent="0.25">
      <c r="A124" s="166">
        <v>3834</v>
      </c>
      <c r="B124" s="167" t="s">
        <v>2228</v>
      </c>
      <c r="C124" s="331">
        <v>113</v>
      </c>
      <c r="D124" s="168">
        <v>0</v>
      </c>
    </row>
    <row r="125" spans="1:4" ht="14.1" customHeight="1" x14ac:dyDescent="0.25">
      <c r="A125" s="166">
        <v>386</v>
      </c>
      <c r="B125" s="167" t="s">
        <v>2762</v>
      </c>
      <c r="C125" s="331">
        <v>114</v>
      </c>
      <c r="D125" s="169">
        <f>SUM(D126:D128)</f>
        <v>945013</v>
      </c>
    </row>
    <row r="126" spans="1:4" ht="14.1" customHeight="1" x14ac:dyDescent="0.25">
      <c r="A126" s="166">
        <v>3861</v>
      </c>
      <c r="B126" s="167" t="s">
        <v>2230</v>
      </c>
      <c r="C126" s="331">
        <v>115</v>
      </c>
      <c r="D126" s="168">
        <v>945013</v>
      </c>
    </row>
    <row r="127" spans="1:4" ht="14.1" customHeight="1" x14ac:dyDescent="0.25">
      <c r="A127" s="166">
        <v>3862</v>
      </c>
      <c r="B127" s="170" t="s">
        <v>2231</v>
      </c>
      <c r="C127" s="331">
        <v>116</v>
      </c>
      <c r="D127" s="168">
        <v>0</v>
      </c>
    </row>
    <row r="128" spans="1:4" ht="14.1" customHeight="1" x14ac:dyDescent="0.25">
      <c r="A128" s="166">
        <v>3863</v>
      </c>
      <c r="B128" s="167" t="s">
        <v>2232</v>
      </c>
      <c r="C128" s="331">
        <v>117</v>
      </c>
      <c r="D128" s="168">
        <v>0</v>
      </c>
    </row>
    <row r="129" spans="1:4" ht="14.1" customHeight="1" x14ac:dyDescent="0.25">
      <c r="A129" s="166" t="s">
        <v>4492</v>
      </c>
      <c r="B129" s="171" t="s">
        <v>2763</v>
      </c>
      <c r="C129" s="331">
        <v>118</v>
      </c>
      <c r="D129" s="169">
        <f>IF(D12&gt;=D21,D12-D21,0)</f>
        <v>56164</v>
      </c>
    </row>
    <row r="130" spans="1:4" ht="14.1" customHeight="1" x14ac:dyDescent="0.25">
      <c r="A130" s="166" t="s">
        <v>4492</v>
      </c>
      <c r="B130" s="171" t="s">
        <v>2764</v>
      </c>
      <c r="C130" s="331">
        <v>119</v>
      </c>
      <c r="D130" s="169">
        <f>IF(D21&gt;=D12,D21-D12,0)</f>
        <v>0</v>
      </c>
    </row>
    <row r="131" spans="1:4" ht="14.1" customHeight="1" x14ac:dyDescent="0.25">
      <c r="A131" s="166">
        <v>7</v>
      </c>
      <c r="B131" s="167" t="s">
        <v>2765</v>
      </c>
      <c r="C131" s="331">
        <v>120</v>
      </c>
      <c r="D131" s="169">
        <f>SUM(D132:D135)</f>
        <v>0</v>
      </c>
    </row>
    <row r="132" spans="1:4" ht="14.1" customHeight="1" x14ac:dyDescent="0.25">
      <c r="A132" s="166">
        <v>71</v>
      </c>
      <c r="B132" s="172" t="s">
        <v>2766</v>
      </c>
      <c r="C132" s="331">
        <v>121</v>
      </c>
      <c r="D132" s="168">
        <v>0</v>
      </c>
    </row>
    <row r="133" spans="1:4" ht="14.1" customHeight="1" x14ac:dyDescent="0.25">
      <c r="A133" s="166">
        <v>72</v>
      </c>
      <c r="B133" s="172" t="s">
        <v>900</v>
      </c>
      <c r="C133" s="331">
        <v>122</v>
      </c>
      <c r="D133" s="168">
        <v>0</v>
      </c>
    </row>
    <row r="134" spans="1:4" ht="14.1" customHeight="1" x14ac:dyDescent="0.25">
      <c r="A134" s="166">
        <v>73</v>
      </c>
      <c r="B134" s="172" t="s">
        <v>2191</v>
      </c>
      <c r="C134" s="331">
        <v>123</v>
      </c>
      <c r="D134" s="168">
        <v>0</v>
      </c>
    </row>
    <row r="135" spans="1:4" ht="14.1" customHeight="1" x14ac:dyDescent="0.25">
      <c r="A135" s="166">
        <v>74</v>
      </c>
      <c r="B135" s="172" t="s">
        <v>2192</v>
      </c>
      <c r="C135" s="331">
        <v>124</v>
      </c>
      <c r="D135" s="168">
        <v>0</v>
      </c>
    </row>
    <row r="136" spans="1:4" ht="14.1" customHeight="1" x14ac:dyDescent="0.25">
      <c r="A136" s="166">
        <v>4</v>
      </c>
      <c r="B136" s="172" t="s">
        <v>2767</v>
      </c>
      <c r="C136" s="331">
        <v>125</v>
      </c>
      <c r="D136" s="169">
        <f>D137+D151+D185+D191+D194</f>
        <v>62518</v>
      </c>
    </row>
    <row r="137" spans="1:4" ht="14.1" customHeight="1" x14ac:dyDescent="0.25">
      <c r="A137" s="166">
        <v>41</v>
      </c>
      <c r="B137" s="172" t="s">
        <v>2768</v>
      </c>
      <c r="C137" s="331">
        <v>126</v>
      </c>
      <c r="D137" s="169">
        <f>D138+D142+D149</f>
        <v>54900</v>
      </c>
    </row>
    <row r="138" spans="1:4" ht="14.1" customHeight="1" x14ac:dyDescent="0.25">
      <c r="A138" s="166">
        <v>411</v>
      </c>
      <c r="B138" s="172" t="s">
        <v>2769</v>
      </c>
      <c r="C138" s="331">
        <v>127</v>
      </c>
      <c r="D138" s="169">
        <f>SUM(D139:D141)</f>
        <v>0</v>
      </c>
    </row>
    <row r="139" spans="1:4" ht="14.1" customHeight="1" x14ac:dyDescent="0.25">
      <c r="A139" s="166">
        <v>4111</v>
      </c>
      <c r="B139" s="172" t="s">
        <v>913</v>
      </c>
      <c r="C139" s="331">
        <v>128</v>
      </c>
      <c r="D139" s="168">
        <v>0</v>
      </c>
    </row>
    <row r="140" spans="1:4" ht="14.1" customHeight="1" x14ac:dyDescent="0.25">
      <c r="A140" s="166">
        <v>4112</v>
      </c>
      <c r="B140" s="172" t="s">
        <v>2455</v>
      </c>
      <c r="C140" s="331">
        <v>129</v>
      </c>
      <c r="D140" s="168">
        <v>0</v>
      </c>
    </row>
    <row r="141" spans="1:4" ht="14.1" customHeight="1" x14ac:dyDescent="0.25">
      <c r="A141" s="166">
        <v>4113</v>
      </c>
      <c r="B141" s="172" t="s">
        <v>699</v>
      </c>
      <c r="C141" s="331">
        <v>130</v>
      </c>
      <c r="D141" s="168">
        <v>0</v>
      </c>
    </row>
    <row r="142" spans="1:4" ht="14.1" customHeight="1" x14ac:dyDescent="0.25">
      <c r="A142" s="166">
        <v>412</v>
      </c>
      <c r="B142" s="172" t="s">
        <v>2770</v>
      </c>
      <c r="C142" s="331">
        <v>131</v>
      </c>
      <c r="D142" s="169">
        <f>SUM(D143:D148)</f>
        <v>54900</v>
      </c>
    </row>
    <row r="143" spans="1:4" ht="14.1" customHeight="1" x14ac:dyDescent="0.25">
      <c r="A143" s="166">
        <v>4121</v>
      </c>
      <c r="B143" s="172" t="s">
        <v>2457</v>
      </c>
      <c r="C143" s="331">
        <v>132</v>
      </c>
      <c r="D143" s="168">
        <v>0</v>
      </c>
    </row>
    <row r="144" spans="1:4" ht="14.1" customHeight="1" x14ac:dyDescent="0.25">
      <c r="A144" s="166">
        <v>4122</v>
      </c>
      <c r="B144" s="172" t="s">
        <v>2458</v>
      </c>
      <c r="C144" s="331">
        <v>133</v>
      </c>
      <c r="D144" s="168">
        <v>0</v>
      </c>
    </row>
    <row r="145" spans="1:4" ht="14.1" customHeight="1" x14ac:dyDescent="0.25">
      <c r="A145" s="166">
        <v>4123</v>
      </c>
      <c r="B145" s="172" t="s">
        <v>2459</v>
      </c>
      <c r="C145" s="331">
        <v>134</v>
      </c>
      <c r="D145" s="168">
        <v>0</v>
      </c>
    </row>
    <row r="146" spans="1:4" ht="14.1" customHeight="1" x14ac:dyDescent="0.25">
      <c r="A146" s="166">
        <v>4124</v>
      </c>
      <c r="B146" s="172" t="s">
        <v>2460</v>
      </c>
      <c r="C146" s="331">
        <v>135</v>
      </c>
      <c r="D146" s="168">
        <v>0</v>
      </c>
    </row>
    <row r="147" spans="1:4" ht="14.1" customHeight="1" x14ac:dyDescent="0.25">
      <c r="A147" s="166">
        <v>4125</v>
      </c>
      <c r="B147" s="172" t="s">
        <v>2461</v>
      </c>
      <c r="C147" s="331">
        <v>136</v>
      </c>
      <c r="D147" s="168">
        <v>0</v>
      </c>
    </row>
    <row r="148" spans="1:4" ht="14.1" customHeight="1" x14ac:dyDescent="0.25">
      <c r="A148" s="166">
        <v>4126</v>
      </c>
      <c r="B148" s="172" t="s">
        <v>3700</v>
      </c>
      <c r="C148" s="331">
        <v>137</v>
      </c>
      <c r="D148" s="168">
        <v>54900</v>
      </c>
    </row>
    <row r="149" spans="1:4" ht="14.1" customHeight="1" x14ac:dyDescent="0.25">
      <c r="A149" s="166">
        <v>418</v>
      </c>
      <c r="B149" s="167" t="s">
        <v>2771</v>
      </c>
      <c r="C149" s="331">
        <v>138</v>
      </c>
      <c r="D149" s="169">
        <f>D150</f>
        <v>0</v>
      </c>
    </row>
    <row r="150" spans="1:4" ht="14.1" customHeight="1" x14ac:dyDescent="0.25">
      <c r="A150" s="166">
        <v>4181</v>
      </c>
      <c r="B150" s="172" t="s">
        <v>701</v>
      </c>
      <c r="C150" s="331">
        <v>139</v>
      </c>
      <c r="D150" s="168">
        <v>0</v>
      </c>
    </row>
    <row r="151" spans="1:4" ht="14.1" customHeight="1" x14ac:dyDescent="0.25">
      <c r="A151" s="166">
        <v>42</v>
      </c>
      <c r="B151" s="172" t="s">
        <v>2772</v>
      </c>
      <c r="C151" s="331">
        <v>140</v>
      </c>
      <c r="D151" s="169">
        <f>D152+D157+D165+D170+D175+D178+D183</f>
        <v>7618</v>
      </c>
    </row>
    <row r="152" spans="1:4" ht="14.1" customHeight="1" x14ac:dyDescent="0.25">
      <c r="A152" s="166">
        <v>421</v>
      </c>
      <c r="B152" s="172" t="s">
        <v>2773</v>
      </c>
      <c r="C152" s="331">
        <v>141</v>
      </c>
      <c r="D152" s="169">
        <f>SUM(D153:D156)</f>
        <v>0</v>
      </c>
    </row>
    <row r="153" spans="1:4" ht="14.1" customHeight="1" x14ac:dyDescent="0.25">
      <c r="A153" s="166">
        <v>4211</v>
      </c>
      <c r="B153" s="172" t="s">
        <v>2386</v>
      </c>
      <c r="C153" s="331">
        <v>142</v>
      </c>
      <c r="D153" s="168">
        <v>0</v>
      </c>
    </row>
    <row r="154" spans="1:4" ht="14.1" customHeight="1" x14ac:dyDescent="0.25">
      <c r="A154" s="166">
        <v>4212</v>
      </c>
      <c r="B154" s="172" t="s">
        <v>2387</v>
      </c>
      <c r="C154" s="331">
        <v>143</v>
      </c>
      <c r="D154" s="168">
        <v>0</v>
      </c>
    </row>
    <row r="155" spans="1:4" ht="14.1" customHeight="1" x14ac:dyDescent="0.25">
      <c r="A155" s="166">
        <v>4213</v>
      </c>
      <c r="B155" s="172" t="s">
        <v>107</v>
      </c>
      <c r="C155" s="331">
        <v>144</v>
      </c>
      <c r="D155" s="168">
        <v>0</v>
      </c>
    </row>
    <row r="156" spans="1:4" ht="14.1" customHeight="1" x14ac:dyDescent="0.25">
      <c r="A156" s="166">
        <v>4214</v>
      </c>
      <c r="B156" s="172" t="s">
        <v>2388</v>
      </c>
      <c r="C156" s="331">
        <v>145</v>
      </c>
      <c r="D156" s="168">
        <v>0</v>
      </c>
    </row>
    <row r="157" spans="1:4" ht="14.1" customHeight="1" x14ac:dyDescent="0.25">
      <c r="A157" s="166">
        <v>422</v>
      </c>
      <c r="B157" s="172" t="s">
        <v>2774</v>
      </c>
      <c r="C157" s="331">
        <v>146</v>
      </c>
      <c r="D157" s="169">
        <f>SUM(D158:D164)</f>
        <v>7618</v>
      </c>
    </row>
    <row r="158" spans="1:4" ht="14.1" customHeight="1" x14ac:dyDescent="0.25">
      <c r="A158" s="166">
        <v>4221</v>
      </c>
      <c r="B158" s="172" t="s">
        <v>1846</v>
      </c>
      <c r="C158" s="331">
        <v>147</v>
      </c>
      <c r="D158" s="168">
        <v>0</v>
      </c>
    </row>
    <row r="159" spans="1:4" ht="14.1" customHeight="1" x14ac:dyDescent="0.25">
      <c r="A159" s="166">
        <v>4222</v>
      </c>
      <c r="B159" s="172" t="s">
        <v>4470</v>
      </c>
      <c r="C159" s="331">
        <v>148</v>
      </c>
      <c r="D159" s="168">
        <v>0</v>
      </c>
    </row>
    <row r="160" spans="1:4" ht="14.1" customHeight="1" x14ac:dyDescent="0.25">
      <c r="A160" s="166">
        <v>4223</v>
      </c>
      <c r="B160" s="172" t="s">
        <v>1848</v>
      </c>
      <c r="C160" s="331">
        <v>149</v>
      </c>
      <c r="D160" s="168">
        <v>7618</v>
      </c>
    </row>
    <row r="161" spans="1:4" ht="14.1" customHeight="1" x14ac:dyDescent="0.25">
      <c r="A161" s="166">
        <v>4224</v>
      </c>
      <c r="B161" s="172" t="s">
        <v>1849</v>
      </c>
      <c r="C161" s="331">
        <v>150</v>
      </c>
      <c r="D161" s="168">
        <v>0</v>
      </c>
    </row>
    <row r="162" spans="1:4" ht="14.1" customHeight="1" x14ac:dyDescent="0.25">
      <c r="A162" s="166">
        <v>4225</v>
      </c>
      <c r="B162" s="172" t="s">
        <v>1850</v>
      </c>
      <c r="C162" s="331">
        <v>151</v>
      </c>
      <c r="D162" s="168">
        <v>0</v>
      </c>
    </row>
    <row r="163" spans="1:4" ht="14.1" customHeight="1" x14ac:dyDescent="0.25">
      <c r="A163" s="166">
        <v>4226</v>
      </c>
      <c r="B163" s="172" t="s">
        <v>1851</v>
      </c>
      <c r="C163" s="331">
        <v>152</v>
      </c>
      <c r="D163" s="168">
        <v>0</v>
      </c>
    </row>
    <row r="164" spans="1:4" ht="14.1" customHeight="1" x14ac:dyDescent="0.25">
      <c r="A164" s="166">
        <v>4227</v>
      </c>
      <c r="B164" s="172" t="s">
        <v>1852</v>
      </c>
      <c r="C164" s="331">
        <v>153</v>
      </c>
      <c r="D164" s="168">
        <v>0</v>
      </c>
    </row>
    <row r="165" spans="1:4" ht="14.1" customHeight="1" x14ac:dyDescent="0.25">
      <c r="A165" s="166">
        <v>423</v>
      </c>
      <c r="B165" s="172" t="s">
        <v>2775</v>
      </c>
      <c r="C165" s="331">
        <v>154</v>
      </c>
      <c r="D165" s="169">
        <f>SUM(D166:D169)</f>
        <v>0</v>
      </c>
    </row>
    <row r="166" spans="1:4" ht="14.1" customHeight="1" x14ac:dyDescent="0.25">
      <c r="A166" s="166">
        <v>4231</v>
      </c>
      <c r="B166" s="172" t="s">
        <v>1853</v>
      </c>
      <c r="C166" s="331">
        <v>155</v>
      </c>
      <c r="D166" s="168">
        <v>0</v>
      </c>
    </row>
    <row r="167" spans="1:4" ht="14.1" customHeight="1" x14ac:dyDescent="0.25">
      <c r="A167" s="166">
        <v>4232</v>
      </c>
      <c r="B167" s="172" t="s">
        <v>1854</v>
      </c>
      <c r="C167" s="331">
        <v>156</v>
      </c>
      <c r="D167" s="168">
        <v>0</v>
      </c>
    </row>
    <row r="168" spans="1:4" ht="14.1" customHeight="1" x14ac:dyDescent="0.25">
      <c r="A168" s="166">
        <v>4233</v>
      </c>
      <c r="B168" s="172" t="s">
        <v>4464</v>
      </c>
      <c r="C168" s="331">
        <v>157</v>
      </c>
      <c r="D168" s="168">
        <v>0</v>
      </c>
    </row>
    <row r="169" spans="1:4" ht="14.1" customHeight="1" x14ac:dyDescent="0.25">
      <c r="A169" s="166">
        <v>4234</v>
      </c>
      <c r="B169" s="172" t="s">
        <v>1538</v>
      </c>
      <c r="C169" s="331">
        <v>158</v>
      </c>
      <c r="D169" s="168">
        <v>0</v>
      </c>
    </row>
    <row r="170" spans="1:4" ht="14.1" customHeight="1" x14ac:dyDescent="0.25">
      <c r="A170" s="166">
        <v>424</v>
      </c>
      <c r="B170" s="172" t="s">
        <v>2776</v>
      </c>
      <c r="C170" s="331">
        <v>159</v>
      </c>
      <c r="D170" s="169">
        <f>SUM(D171:D174)</f>
        <v>0</v>
      </c>
    </row>
    <row r="171" spans="1:4" ht="14.1" customHeight="1" x14ac:dyDescent="0.25">
      <c r="A171" s="166">
        <v>4241</v>
      </c>
      <c r="B171" s="172" t="s">
        <v>130</v>
      </c>
      <c r="C171" s="331">
        <v>160</v>
      </c>
      <c r="D171" s="168">
        <v>0</v>
      </c>
    </row>
    <row r="172" spans="1:4" ht="14.1" customHeight="1" x14ac:dyDescent="0.25">
      <c r="A172" s="166">
        <v>4242</v>
      </c>
      <c r="B172" s="172" t="s">
        <v>112</v>
      </c>
      <c r="C172" s="331">
        <v>161</v>
      </c>
      <c r="D172" s="168">
        <v>0</v>
      </c>
    </row>
    <row r="173" spans="1:4" ht="14.1" customHeight="1" x14ac:dyDescent="0.25">
      <c r="A173" s="166">
        <v>4243</v>
      </c>
      <c r="B173" s="172" t="s">
        <v>3438</v>
      </c>
      <c r="C173" s="331">
        <v>162</v>
      </c>
      <c r="D173" s="168">
        <v>0</v>
      </c>
    </row>
    <row r="174" spans="1:4" ht="14.1" customHeight="1" x14ac:dyDescent="0.25">
      <c r="A174" s="166">
        <v>4244</v>
      </c>
      <c r="B174" s="172" t="s">
        <v>3439</v>
      </c>
      <c r="C174" s="331">
        <v>163</v>
      </c>
      <c r="D174" s="168">
        <v>0</v>
      </c>
    </row>
    <row r="175" spans="1:4" ht="14.1" customHeight="1" x14ac:dyDescent="0.25">
      <c r="A175" s="166">
        <v>425</v>
      </c>
      <c r="B175" s="172" t="s">
        <v>3365</v>
      </c>
      <c r="C175" s="331">
        <v>164</v>
      </c>
      <c r="D175" s="169">
        <f>SUM(D176:D177)</f>
        <v>0</v>
      </c>
    </row>
    <row r="176" spans="1:4" ht="14.1" customHeight="1" x14ac:dyDescent="0.25">
      <c r="A176" s="166">
        <v>4251</v>
      </c>
      <c r="B176" s="172" t="s">
        <v>4474</v>
      </c>
      <c r="C176" s="331">
        <v>165</v>
      </c>
      <c r="D176" s="168">
        <v>0</v>
      </c>
    </row>
    <row r="177" spans="1:4" ht="14.1" customHeight="1" x14ac:dyDescent="0.25">
      <c r="A177" s="166">
        <v>4252</v>
      </c>
      <c r="B177" s="172" t="s">
        <v>1249</v>
      </c>
      <c r="C177" s="331">
        <v>166</v>
      </c>
      <c r="D177" s="168">
        <v>0</v>
      </c>
    </row>
    <row r="178" spans="1:4" ht="14.1" customHeight="1" x14ac:dyDescent="0.25">
      <c r="A178" s="166">
        <v>426</v>
      </c>
      <c r="B178" s="172" t="s">
        <v>3366</v>
      </c>
      <c r="C178" s="331">
        <v>167</v>
      </c>
      <c r="D178" s="169">
        <f>SUM(D179:D182)</f>
        <v>0</v>
      </c>
    </row>
    <row r="179" spans="1:4" ht="14.1" customHeight="1" x14ac:dyDescent="0.25">
      <c r="A179" s="166">
        <v>4261</v>
      </c>
      <c r="B179" s="172" t="s">
        <v>115</v>
      </c>
      <c r="C179" s="331">
        <v>168</v>
      </c>
      <c r="D179" s="168">
        <v>0</v>
      </c>
    </row>
    <row r="180" spans="1:4" ht="14.1" customHeight="1" x14ac:dyDescent="0.25">
      <c r="A180" s="166">
        <v>4262</v>
      </c>
      <c r="B180" s="172" t="s">
        <v>2128</v>
      </c>
      <c r="C180" s="331">
        <v>169</v>
      </c>
      <c r="D180" s="168">
        <v>0</v>
      </c>
    </row>
    <row r="181" spans="1:4" ht="14.1" customHeight="1" x14ac:dyDescent="0.25">
      <c r="A181" s="166">
        <v>4263</v>
      </c>
      <c r="B181" s="172" t="s">
        <v>2129</v>
      </c>
      <c r="C181" s="331">
        <v>170</v>
      </c>
      <c r="D181" s="168">
        <v>0</v>
      </c>
    </row>
    <row r="182" spans="1:4" ht="14.1" customHeight="1" x14ac:dyDescent="0.25">
      <c r="A182" s="166">
        <v>4264</v>
      </c>
      <c r="B182" s="172" t="s">
        <v>2130</v>
      </c>
      <c r="C182" s="331">
        <v>171</v>
      </c>
      <c r="D182" s="168">
        <v>0</v>
      </c>
    </row>
    <row r="183" spans="1:4" ht="14.1" customHeight="1" x14ac:dyDescent="0.25">
      <c r="A183" s="166">
        <v>428</v>
      </c>
      <c r="B183" s="172" t="s">
        <v>3367</v>
      </c>
      <c r="C183" s="331">
        <v>172</v>
      </c>
      <c r="D183" s="169">
        <f>D184</f>
        <v>0</v>
      </c>
    </row>
    <row r="184" spans="1:4" ht="14.1" customHeight="1" x14ac:dyDescent="0.25">
      <c r="A184" s="166">
        <v>4281</v>
      </c>
      <c r="B184" s="172" t="s">
        <v>3985</v>
      </c>
      <c r="C184" s="331">
        <v>173</v>
      </c>
      <c r="D184" s="168">
        <v>0</v>
      </c>
    </row>
    <row r="185" spans="1:4" ht="14.1" customHeight="1" x14ac:dyDescent="0.25">
      <c r="A185" s="166">
        <v>43</v>
      </c>
      <c r="B185" s="172" t="s">
        <v>716</v>
      </c>
      <c r="C185" s="331">
        <v>174</v>
      </c>
      <c r="D185" s="169">
        <f>D186+D189</f>
        <v>0</v>
      </c>
    </row>
    <row r="186" spans="1:4" ht="14.1" customHeight="1" x14ac:dyDescent="0.25">
      <c r="A186" s="166">
        <v>431</v>
      </c>
      <c r="B186" s="172" t="s">
        <v>717</v>
      </c>
      <c r="C186" s="331">
        <v>175</v>
      </c>
      <c r="D186" s="169">
        <f>SUM(D187:D188)</f>
        <v>0</v>
      </c>
    </row>
    <row r="187" spans="1:4" ht="14.1" customHeight="1" x14ac:dyDescent="0.25">
      <c r="A187" s="166">
        <v>4311</v>
      </c>
      <c r="B187" s="172" t="s">
        <v>2131</v>
      </c>
      <c r="C187" s="331">
        <v>176</v>
      </c>
      <c r="D187" s="168">
        <v>0</v>
      </c>
    </row>
    <row r="188" spans="1:4" ht="14.1" customHeight="1" x14ac:dyDescent="0.25">
      <c r="A188" s="166">
        <v>4312</v>
      </c>
      <c r="B188" s="172" t="s">
        <v>2132</v>
      </c>
      <c r="C188" s="331">
        <v>177</v>
      </c>
      <c r="D188" s="168">
        <v>0</v>
      </c>
    </row>
    <row r="189" spans="1:4" ht="14.1" customHeight="1" x14ac:dyDescent="0.25">
      <c r="A189" s="166">
        <v>438</v>
      </c>
      <c r="B189" s="172" t="s">
        <v>718</v>
      </c>
      <c r="C189" s="331">
        <v>178</v>
      </c>
      <c r="D189" s="169">
        <f>D190</f>
        <v>0</v>
      </c>
    </row>
    <row r="190" spans="1:4" ht="14.1" customHeight="1" x14ac:dyDescent="0.25">
      <c r="A190" s="166">
        <v>4381</v>
      </c>
      <c r="B190" s="172" t="s">
        <v>2861</v>
      </c>
      <c r="C190" s="331">
        <v>179</v>
      </c>
      <c r="D190" s="168">
        <v>0</v>
      </c>
    </row>
    <row r="191" spans="1:4" ht="14.1" customHeight="1" x14ac:dyDescent="0.25">
      <c r="A191" s="166">
        <v>44</v>
      </c>
      <c r="B191" s="172" t="s">
        <v>719</v>
      </c>
      <c r="C191" s="331">
        <v>180</v>
      </c>
      <c r="D191" s="169">
        <f>D192</f>
        <v>0</v>
      </c>
    </row>
    <row r="192" spans="1:4" ht="14.1" customHeight="1" x14ac:dyDescent="0.25">
      <c r="A192" s="166">
        <v>441</v>
      </c>
      <c r="B192" s="172" t="s">
        <v>720</v>
      </c>
      <c r="C192" s="331">
        <v>181</v>
      </c>
      <c r="D192" s="169">
        <f>D193</f>
        <v>0</v>
      </c>
    </row>
    <row r="193" spans="1:4" ht="14.1" customHeight="1" x14ac:dyDescent="0.25">
      <c r="A193" s="166">
        <v>4411</v>
      </c>
      <c r="B193" s="172" t="s">
        <v>694</v>
      </c>
      <c r="C193" s="331">
        <v>182</v>
      </c>
      <c r="D193" s="168">
        <v>0</v>
      </c>
    </row>
    <row r="194" spans="1:4" ht="14.1" customHeight="1" x14ac:dyDescent="0.25">
      <c r="A194" s="166">
        <v>45</v>
      </c>
      <c r="B194" s="172" t="s">
        <v>721</v>
      </c>
      <c r="C194" s="331">
        <v>183</v>
      </c>
      <c r="D194" s="169">
        <f>D195+D197+D199+D201+D203</f>
        <v>0</v>
      </c>
    </row>
    <row r="195" spans="1:4" ht="14.1" customHeight="1" x14ac:dyDescent="0.25">
      <c r="A195" s="166">
        <v>451</v>
      </c>
      <c r="B195" s="172" t="s">
        <v>722</v>
      </c>
      <c r="C195" s="331">
        <v>184</v>
      </c>
      <c r="D195" s="169">
        <f>D196</f>
        <v>0</v>
      </c>
    </row>
    <row r="196" spans="1:4" ht="14.1" customHeight="1" x14ac:dyDescent="0.25">
      <c r="A196" s="166">
        <v>4511</v>
      </c>
      <c r="B196" s="172" t="s">
        <v>4075</v>
      </c>
      <c r="C196" s="331">
        <v>185</v>
      </c>
      <c r="D196" s="168">
        <v>0</v>
      </c>
    </row>
    <row r="197" spans="1:4" ht="14.1" customHeight="1" x14ac:dyDescent="0.25">
      <c r="A197" s="166">
        <v>452</v>
      </c>
      <c r="B197" s="172" t="s">
        <v>723</v>
      </c>
      <c r="C197" s="331">
        <v>186</v>
      </c>
      <c r="D197" s="169">
        <f>D198</f>
        <v>0</v>
      </c>
    </row>
    <row r="198" spans="1:4" ht="14.1" customHeight="1" x14ac:dyDescent="0.25">
      <c r="A198" s="166">
        <v>4521</v>
      </c>
      <c r="B198" s="172" t="s">
        <v>3688</v>
      </c>
      <c r="C198" s="331">
        <v>187</v>
      </c>
      <c r="D198" s="168">
        <v>0</v>
      </c>
    </row>
    <row r="199" spans="1:4" ht="14.1" customHeight="1" x14ac:dyDescent="0.25">
      <c r="A199" s="166">
        <v>453</v>
      </c>
      <c r="B199" s="172" t="s">
        <v>724</v>
      </c>
      <c r="C199" s="331">
        <v>188</v>
      </c>
      <c r="D199" s="169">
        <f>D200</f>
        <v>0</v>
      </c>
    </row>
    <row r="200" spans="1:4" ht="14.1" customHeight="1" x14ac:dyDescent="0.25">
      <c r="A200" s="166">
        <v>4531</v>
      </c>
      <c r="B200" s="172" t="s">
        <v>3690</v>
      </c>
      <c r="C200" s="331">
        <v>189</v>
      </c>
      <c r="D200" s="168">
        <v>0</v>
      </c>
    </row>
    <row r="201" spans="1:4" ht="14.1" customHeight="1" x14ac:dyDescent="0.25">
      <c r="A201" s="166">
        <v>454</v>
      </c>
      <c r="B201" s="172" t="s">
        <v>725</v>
      </c>
      <c r="C201" s="331">
        <v>190</v>
      </c>
      <c r="D201" s="169">
        <f>D202</f>
        <v>0</v>
      </c>
    </row>
    <row r="202" spans="1:4" ht="14.1" customHeight="1" x14ac:dyDescent="0.25">
      <c r="A202" s="166">
        <v>4541</v>
      </c>
      <c r="B202" s="172" t="s">
        <v>3692</v>
      </c>
      <c r="C202" s="331">
        <v>191</v>
      </c>
      <c r="D202" s="168">
        <v>0</v>
      </c>
    </row>
    <row r="203" spans="1:4" ht="14.1" customHeight="1" x14ac:dyDescent="0.25">
      <c r="A203" s="166">
        <v>458</v>
      </c>
      <c r="B203" s="172" t="s">
        <v>726</v>
      </c>
      <c r="C203" s="331">
        <v>192</v>
      </c>
      <c r="D203" s="169">
        <f>D204</f>
        <v>0</v>
      </c>
    </row>
    <row r="204" spans="1:4" ht="14.1" customHeight="1" x14ac:dyDescent="0.25">
      <c r="A204" s="166">
        <v>4581</v>
      </c>
      <c r="B204" s="172" t="s">
        <v>3694</v>
      </c>
      <c r="C204" s="331">
        <v>193</v>
      </c>
      <c r="D204" s="168">
        <v>0</v>
      </c>
    </row>
    <row r="205" spans="1:4" ht="14.1" customHeight="1" x14ac:dyDescent="0.25">
      <c r="A205" s="166" t="s">
        <v>4492</v>
      </c>
      <c r="B205" s="171" t="s">
        <v>727</v>
      </c>
      <c r="C205" s="331">
        <v>194</v>
      </c>
      <c r="D205" s="169">
        <f>IF(D131&gt;=D136,D131-D136,0)</f>
        <v>0</v>
      </c>
    </row>
    <row r="206" spans="1:4" ht="14.1" customHeight="1" x14ac:dyDescent="0.25">
      <c r="A206" s="166" t="s">
        <v>4492</v>
      </c>
      <c r="B206" s="171" t="s">
        <v>728</v>
      </c>
      <c r="C206" s="331">
        <v>195</v>
      </c>
      <c r="D206" s="169">
        <f>IF(D136&gt;=D131,D136-D131,0)</f>
        <v>62518</v>
      </c>
    </row>
    <row r="207" spans="1:4" ht="14.1" customHeight="1" x14ac:dyDescent="0.25">
      <c r="A207" s="173">
        <v>8</v>
      </c>
      <c r="B207" s="167" t="s">
        <v>1982</v>
      </c>
      <c r="C207" s="331">
        <v>196</v>
      </c>
      <c r="D207" s="169">
        <f>SUM(D208:D212)</f>
        <v>0</v>
      </c>
    </row>
    <row r="208" spans="1:4" ht="14.1" customHeight="1" x14ac:dyDescent="0.25">
      <c r="A208" s="173">
        <v>81</v>
      </c>
      <c r="B208" s="167" t="s">
        <v>1115</v>
      </c>
      <c r="C208" s="331">
        <v>197</v>
      </c>
      <c r="D208" s="168">
        <v>0</v>
      </c>
    </row>
    <row r="209" spans="1:4" ht="14.1" customHeight="1" x14ac:dyDescent="0.25">
      <c r="A209" s="173">
        <v>82</v>
      </c>
      <c r="B209" s="167" t="s">
        <v>1983</v>
      </c>
      <c r="C209" s="331">
        <v>198</v>
      </c>
      <c r="D209" s="168">
        <v>0</v>
      </c>
    </row>
    <row r="210" spans="1:4" ht="14.1" customHeight="1" x14ac:dyDescent="0.25">
      <c r="A210" s="173">
        <v>83</v>
      </c>
      <c r="B210" s="167" t="s">
        <v>1116</v>
      </c>
      <c r="C210" s="331">
        <v>199</v>
      </c>
      <c r="D210" s="168">
        <v>0</v>
      </c>
    </row>
    <row r="211" spans="1:4" ht="14.1" customHeight="1" x14ac:dyDescent="0.25">
      <c r="A211" s="173">
        <v>84</v>
      </c>
      <c r="B211" s="167" t="s">
        <v>3968</v>
      </c>
      <c r="C211" s="331">
        <v>200</v>
      </c>
      <c r="D211" s="168">
        <v>0</v>
      </c>
    </row>
    <row r="212" spans="1:4" ht="14.1" customHeight="1" x14ac:dyDescent="0.25">
      <c r="A212" s="173">
        <v>85</v>
      </c>
      <c r="B212" s="167" t="s">
        <v>1984</v>
      </c>
      <c r="C212" s="331">
        <v>201</v>
      </c>
      <c r="D212" s="168">
        <v>0</v>
      </c>
    </row>
    <row r="213" spans="1:4" ht="14.1" customHeight="1" x14ac:dyDescent="0.25">
      <c r="A213" s="173">
        <v>5</v>
      </c>
      <c r="B213" s="167" t="s">
        <v>1985</v>
      </c>
      <c r="C213" s="331">
        <v>202</v>
      </c>
      <c r="D213" s="169">
        <f>SUM(D214:D218)</f>
        <v>0</v>
      </c>
    </row>
    <row r="214" spans="1:4" ht="14.1" customHeight="1" x14ac:dyDescent="0.25">
      <c r="A214" s="173">
        <v>51</v>
      </c>
      <c r="B214" s="167" t="s">
        <v>3969</v>
      </c>
      <c r="C214" s="331">
        <v>203</v>
      </c>
      <c r="D214" s="168">
        <v>0</v>
      </c>
    </row>
    <row r="215" spans="1:4" ht="14.1" customHeight="1" x14ac:dyDescent="0.25">
      <c r="A215" s="173">
        <v>52</v>
      </c>
      <c r="B215" s="167" t="s">
        <v>1986</v>
      </c>
      <c r="C215" s="331">
        <v>204</v>
      </c>
      <c r="D215" s="168">
        <v>0</v>
      </c>
    </row>
    <row r="216" spans="1:4" ht="14.1" customHeight="1" x14ac:dyDescent="0.25">
      <c r="A216" s="173">
        <v>53</v>
      </c>
      <c r="B216" s="167" t="s">
        <v>3970</v>
      </c>
      <c r="C216" s="331">
        <v>205</v>
      </c>
      <c r="D216" s="168">
        <v>0</v>
      </c>
    </row>
    <row r="217" spans="1:4" ht="14.1" customHeight="1" x14ac:dyDescent="0.25">
      <c r="A217" s="173">
        <v>54</v>
      </c>
      <c r="B217" s="167" t="s">
        <v>1987</v>
      </c>
      <c r="C217" s="331">
        <v>206</v>
      </c>
      <c r="D217" s="168">
        <v>0</v>
      </c>
    </row>
    <row r="218" spans="1:4" ht="14.1" customHeight="1" x14ac:dyDescent="0.25">
      <c r="A218" s="173">
        <v>55</v>
      </c>
      <c r="B218" s="167" t="s">
        <v>3971</v>
      </c>
      <c r="C218" s="331">
        <v>207</v>
      </c>
      <c r="D218" s="168">
        <v>0</v>
      </c>
    </row>
    <row r="219" spans="1:4" ht="14.1" customHeight="1" x14ac:dyDescent="0.25">
      <c r="A219" s="173" t="s">
        <v>3972</v>
      </c>
      <c r="B219" s="167" t="s">
        <v>1988</v>
      </c>
      <c r="C219" s="331">
        <v>208</v>
      </c>
      <c r="D219" s="169">
        <f>SUM(D220:D227)</f>
        <v>94875</v>
      </c>
    </row>
    <row r="220" spans="1:4" ht="14.1" customHeight="1" x14ac:dyDescent="0.25">
      <c r="A220" s="173" t="s">
        <v>4492</v>
      </c>
      <c r="B220" s="167" t="s">
        <v>3973</v>
      </c>
      <c r="C220" s="331">
        <v>209</v>
      </c>
      <c r="D220" s="168">
        <v>0</v>
      </c>
    </row>
    <row r="221" spans="1:4" ht="14.1" customHeight="1" x14ac:dyDescent="0.25">
      <c r="A221" s="173" t="s">
        <v>4492</v>
      </c>
      <c r="B221" s="167" t="s">
        <v>1388</v>
      </c>
      <c r="C221" s="331">
        <v>210</v>
      </c>
      <c r="D221" s="168">
        <v>0</v>
      </c>
    </row>
    <row r="222" spans="1:4" ht="14.1" customHeight="1" x14ac:dyDescent="0.25">
      <c r="A222" s="173" t="s">
        <v>4492</v>
      </c>
      <c r="B222" s="167" t="s">
        <v>3974</v>
      </c>
      <c r="C222" s="331">
        <v>211</v>
      </c>
      <c r="D222" s="168">
        <v>0</v>
      </c>
    </row>
    <row r="223" spans="1:4" ht="14.1" customHeight="1" x14ac:dyDescent="0.25">
      <c r="A223" s="173" t="s">
        <v>4492</v>
      </c>
      <c r="B223" s="167" t="s">
        <v>3975</v>
      </c>
      <c r="C223" s="331">
        <v>212</v>
      </c>
      <c r="D223" s="168">
        <v>0</v>
      </c>
    </row>
    <row r="224" spans="1:4" ht="14.1" customHeight="1" x14ac:dyDescent="0.25">
      <c r="A224" s="173" t="s">
        <v>4492</v>
      </c>
      <c r="B224" s="167" t="s">
        <v>3976</v>
      </c>
      <c r="C224" s="331">
        <v>213</v>
      </c>
      <c r="D224" s="168">
        <v>0</v>
      </c>
    </row>
    <row r="225" spans="1:4" ht="14.1" customHeight="1" x14ac:dyDescent="0.25">
      <c r="A225" s="173" t="s">
        <v>4492</v>
      </c>
      <c r="B225" s="167" t="s">
        <v>3977</v>
      </c>
      <c r="C225" s="331">
        <v>214</v>
      </c>
      <c r="D225" s="168">
        <v>0</v>
      </c>
    </row>
    <row r="226" spans="1:4" ht="14.1" customHeight="1" x14ac:dyDescent="0.25">
      <c r="A226" s="173" t="s">
        <v>4492</v>
      </c>
      <c r="B226" s="167" t="s">
        <v>3978</v>
      </c>
      <c r="C226" s="331">
        <v>215</v>
      </c>
      <c r="D226" s="168">
        <v>0</v>
      </c>
    </row>
    <row r="227" spans="1:4" ht="14.1" customHeight="1" x14ac:dyDescent="0.25">
      <c r="A227" s="173" t="s">
        <v>4492</v>
      </c>
      <c r="B227" s="167" t="s">
        <v>3979</v>
      </c>
      <c r="C227" s="331">
        <v>216</v>
      </c>
      <c r="D227" s="168">
        <v>94875</v>
      </c>
    </row>
    <row r="228" spans="1:4" ht="14.1" customHeight="1" x14ac:dyDescent="0.25">
      <c r="A228" s="173" t="s">
        <v>3972</v>
      </c>
      <c r="B228" s="167" t="s">
        <v>1989</v>
      </c>
      <c r="C228" s="331">
        <v>217</v>
      </c>
      <c r="D228" s="169">
        <f>SUM(D229:D234)</f>
        <v>126855</v>
      </c>
    </row>
    <row r="229" spans="1:4" ht="14.1" customHeight="1" x14ac:dyDescent="0.25">
      <c r="A229" s="173" t="s">
        <v>4492</v>
      </c>
      <c r="B229" s="167" t="s">
        <v>3973</v>
      </c>
      <c r="C229" s="331">
        <v>218</v>
      </c>
      <c r="D229" s="168">
        <v>0</v>
      </c>
    </row>
    <row r="230" spans="1:4" ht="14.1" customHeight="1" x14ac:dyDescent="0.25">
      <c r="A230" s="173" t="s">
        <v>4492</v>
      </c>
      <c r="B230" s="167" t="s">
        <v>1388</v>
      </c>
      <c r="C230" s="331">
        <v>219</v>
      </c>
      <c r="D230" s="168">
        <v>0</v>
      </c>
    </row>
    <row r="231" spans="1:4" ht="14.1" customHeight="1" x14ac:dyDescent="0.25">
      <c r="A231" s="173" t="s">
        <v>4492</v>
      </c>
      <c r="B231" s="167" t="s">
        <v>3980</v>
      </c>
      <c r="C231" s="331">
        <v>220</v>
      </c>
      <c r="D231" s="168">
        <v>0</v>
      </c>
    </row>
    <row r="232" spans="1:4" ht="14.1" customHeight="1" x14ac:dyDescent="0.25">
      <c r="A232" s="173" t="s">
        <v>4492</v>
      </c>
      <c r="B232" s="167" t="s">
        <v>3981</v>
      </c>
      <c r="C232" s="331">
        <v>221</v>
      </c>
      <c r="D232" s="168">
        <v>0</v>
      </c>
    </row>
    <row r="233" spans="1:4" ht="14.1" customHeight="1" x14ac:dyDescent="0.25">
      <c r="A233" s="173" t="s">
        <v>4492</v>
      </c>
      <c r="B233" s="167" t="s">
        <v>3982</v>
      </c>
      <c r="C233" s="331">
        <v>222</v>
      </c>
      <c r="D233" s="168">
        <v>0</v>
      </c>
    </row>
    <row r="234" spans="1:4" ht="14.1" customHeight="1" x14ac:dyDescent="0.25">
      <c r="A234" s="173" t="s">
        <v>4492</v>
      </c>
      <c r="B234" s="167" t="s">
        <v>3983</v>
      </c>
      <c r="C234" s="331">
        <v>223</v>
      </c>
      <c r="D234" s="168">
        <v>126855</v>
      </c>
    </row>
    <row r="235" spans="1:4" ht="14.1" customHeight="1" x14ac:dyDescent="0.25">
      <c r="A235" s="173" t="s">
        <v>4492</v>
      </c>
      <c r="B235" s="171" t="s">
        <v>1990</v>
      </c>
      <c r="C235" s="331">
        <v>224</v>
      </c>
      <c r="D235" s="169">
        <f>IF((D207+D219)&gt;=(D213+D228),D207+D219-D213-D228,0)</f>
        <v>0</v>
      </c>
    </row>
    <row r="236" spans="1:4" ht="14.1" customHeight="1" x14ac:dyDescent="0.25">
      <c r="A236" s="173" t="s">
        <v>4492</v>
      </c>
      <c r="B236" s="171" t="s">
        <v>1991</v>
      </c>
      <c r="C236" s="331">
        <v>225</v>
      </c>
      <c r="D236" s="169">
        <f>IF((D213+D228)&gt;=(D207+D219),D213+D228-D207-D219,0)</f>
        <v>31980</v>
      </c>
    </row>
    <row r="237" spans="1:4" ht="14.1" customHeight="1" x14ac:dyDescent="0.25">
      <c r="A237" s="173" t="s">
        <v>4492</v>
      </c>
      <c r="B237" s="171" t="s">
        <v>1992</v>
      </c>
      <c r="C237" s="331">
        <v>226</v>
      </c>
      <c r="D237" s="169">
        <f>IF((D129+D205+D235)&gt;=(D130+D206+D236),D129+D205+D235-D130-D206-D236,0)</f>
        <v>0</v>
      </c>
    </row>
    <row r="238" spans="1:4" ht="14.1" customHeight="1" x14ac:dyDescent="0.25">
      <c r="A238" s="173" t="s">
        <v>4492</v>
      </c>
      <c r="B238" s="171" t="s">
        <v>1993</v>
      </c>
      <c r="C238" s="331">
        <v>227</v>
      </c>
      <c r="D238" s="169">
        <f>IF((D130+D206+D236)&gt;=(D129+D205+D235),D130+D206+D236-D129-D205-D235,0)</f>
        <v>38334</v>
      </c>
    </row>
    <row r="239" spans="1:4" ht="14.1" customHeight="1" x14ac:dyDescent="0.25">
      <c r="A239" s="173">
        <v>11</v>
      </c>
      <c r="B239" s="167" t="s">
        <v>1088</v>
      </c>
      <c r="C239" s="331">
        <v>228</v>
      </c>
      <c r="D239" s="168">
        <v>476121</v>
      </c>
    </row>
    <row r="240" spans="1:4" ht="14.1" customHeight="1" x14ac:dyDescent="0.25">
      <c r="A240" s="173">
        <v>11</v>
      </c>
      <c r="B240" s="167" t="s">
        <v>1089</v>
      </c>
      <c r="C240" s="331">
        <v>229</v>
      </c>
      <c r="D240" s="168">
        <v>437787</v>
      </c>
    </row>
    <row r="241" spans="1:4" ht="14.1" customHeight="1" x14ac:dyDescent="0.25">
      <c r="A241" s="173" t="s">
        <v>4492</v>
      </c>
      <c r="B241" s="171" t="s">
        <v>1994</v>
      </c>
      <c r="C241" s="331">
        <v>230</v>
      </c>
      <c r="D241" s="169">
        <f>IF(D240&gt;=D239,D240-D239,0)</f>
        <v>0</v>
      </c>
    </row>
    <row r="242" spans="1:4" ht="14.1" customHeight="1" x14ac:dyDescent="0.25">
      <c r="A242" s="174" t="s">
        <v>4492</v>
      </c>
      <c r="B242" s="175" t="s">
        <v>1995</v>
      </c>
      <c r="C242" s="332">
        <v>231</v>
      </c>
      <c r="D242" s="176">
        <f>IF(D239&gt;=D240,D239-D240,0)</f>
        <v>38334</v>
      </c>
    </row>
    <row r="243" spans="1:4" ht="15" customHeight="1" x14ac:dyDescent="0.25">
      <c r="A243" s="548" t="s">
        <v>4274</v>
      </c>
      <c r="B243" s="549"/>
      <c r="C243" s="549"/>
      <c r="D243" s="550"/>
    </row>
    <row r="244" spans="1:4" ht="14.1" customHeight="1" x14ac:dyDescent="0.25">
      <c r="A244" s="177" t="s">
        <v>1996</v>
      </c>
      <c r="B244" s="178" t="s">
        <v>2143</v>
      </c>
      <c r="C244" s="333">
        <v>232</v>
      </c>
      <c r="D244" s="179">
        <v>0</v>
      </c>
    </row>
    <row r="245" spans="1:4" ht="14.1" customHeight="1" x14ac:dyDescent="0.25">
      <c r="A245" s="180" t="s">
        <v>1997</v>
      </c>
      <c r="B245" s="181" t="s">
        <v>1998</v>
      </c>
      <c r="C245" s="331">
        <v>233</v>
      </c>
      <c r="D245" s="168">
        <v>0</v>
      </c>
    </row>
    <row r="246" spans="1:4" ht="14.1" customHeight="1" x14ac:dyDescent="0.25">
      <c r="A246" s="180" t="s">
        <v>1999</v>
      </c>
      <c r="B246" s="181" t="s">
        <v>2000</v>
      </c>
      <c r="C246" s="331">
        <v>234</v>
      </c>
      <c r="D246" s="168">
        <v>0</v>
      </c>
    </row>
    <row r="247" spans="1:4" ht="14.1" customHeight="1" x14ac:dyDescent="0.25">
      <c r="A247" s="180" t="s">
        <v>2001</v>
      </c>
      <c r="B247" s="181" t="s">
        <v>2002</v>
      </c>
      <c r="C247" s="331">
        <v>235</v>
      </c>
      <c r="D247" s="168">
        <v>0</v>
      </c>
    </row>
    <row r="248" spans="1:4" ht="14.1" customHeight="1" x14ac:dyDescent="0.25">
      <c r="A248" s="180" t="s">
        <v>2003</v>
      </c>
      <c r="B248" s="181" t="s">
        <v>2004</v>
      </c>
      <c r="C248" s="331">
        <v>236</v>
      </c>
      <c r="D248" s="168">
        <v>0</v>
      </c>
    </row>
    <row r="249" spans="1:4" ht="14.1" customHeight="1" x14ac:dyDescent="0.25">
      <c r="A249" s="180" t="s">
        <v>2005</v>
      </c>
      <c r="B249" s="181" t="s">
        <v>4046</v>
      </c>
      <c r="C249" s="331">
        <v>237</v>
      </c>
      <c r="D249" s="168">
        <v>0</v>
      </c>
    </row>
    <row r="250" spans="1:4" ht="14.1" customHeight="1" x14ac:dyDescent="0.25">
      <c r="A250" s="180" t="s">
        <v>2006</v>
      </c>
      <c r="B250" s="181" t="s">
        <v>2007</v>
      </c>
      <c r="C250" s="331">
        <v>238</v>
      </c>
      <c r="D250" s="168">
        <v>0</v>
      </c>
    </row>
    <row r="251" spans="1:4" ht="14.1" customHeight="1" x14ac:dyDescent="0.25">
      <c r="A251" s="180" t="s">
        <v>2008</v>
      </c>
      <c r="B251" s="181" t="s">
        <v>637</v>
      </c>
      <c r="C251" s="331">
        <v>239</v>
      </c>
      <c r="D251" s="168">
        <v>0</v>
      </c>
    </row>
    <row r="252" spans="1:4" ht="14.1" customHeight="1" x14ac:dyDescent="0.25">
      <c r="A252" s="180" t="s">
        <v>2009</v>
      </c>
      <c r="B252" s="181" t="s">
        <v>638</v>
      </c>
      <c r="C252" s="331">
        <v>240</v>
      </c>
      <c r="D252" s="168">
        <v>0</v>
      </c>
    </row>
    <row r="253" spans="1:4" ht="14.1" customHeight="1" x14ac:dyDescent="0.25">
      <c r="A253" s="180" t="s">
        <v>2010</v>
      </c>
      <c r="B253" s="181" t="s">
        <v>1342</v>
      </c>
      <c r="C253" s="331">
        <v>241</v>
      </c>
      <c r="D253" s="168">
        <v>50724</v>
      </c>
    </row>
    <row r="254" spans="1:4" ht="14.1" customHeight="1" x14ac:dyDescent="0.25">
      <c r="A254" s="180" t="s">
        <v>2011</v>
      </c>
      <c r="B254" s="181" t="s">
        <v>4280</v>
      </c>
      <c r="C254" s="331">
        <v>242</v>
      </c>
      <c r="D254" s="168">
        <v>65550</v>
      </c>
    </row>
    <row r="255" spans="1:4" ht="14.1" customHeight="1" x14ac:dyDescent="0.25">
      <c r="A255" s="180" t="s">
        <v>2012</v>
      </c>
      <c r="B255" s="181" t="s">
        <v>4281</v>
      </c>
      <c r="C255" s="331">
        <v>243</v>
      </c>
      <c r="D255" s="168">
        <v>0</v>
      </c>
    </row>
    <row r="256" spans="1:4" ht="14.1" customHeight="1" x14ac:dyDescent="0.25">
      <c r="A256" s="180" t="s">
        <v>2013</v>
      </c>
      <c r="B256" s="181" t="s">
        <v>4282</v>
      </c>
      <c r="C256" s="331">
        <v>244</v>
      </c>
      <c r="D256" s="168">
        <v>0</v>
      </c>
    </row>
    <row r="257" spans="1:4" ht="14.1" customHeight="1" x14ac:dyDescent="0.25">
      <c r="A257" s="180" t="s">
        <v>2014</v>
      </c>
      <c r="B257" s="181" t="s">
        <v>1343</v>
      </c>
      <c r="C257" s="331">
        <v>245</v>
      </c>
      <c r="D257" s="168">
        <v>0</v>
      </c>
    </row>
    <row r="258" spans="1:4" ht="14.1" customHeight="1" x14ac:dyDescent="0.25">
      <c r="A258" s="180" t="s">
        <v>2015</v>
      </c>
      <c r="B258" s="181" t="s">
        <v>4283</v>
      </c>
      <c r="C258" s="331">
        <v>246</v>
      </c>
      <c r="D258" s="168">
        <v>504459</v>
      </c>
    </row>
    <row r="259" spans="1:4" ht="14.1" customHeight="1" x14ac:dyDescent="0.25">
      <c r="A259" s="180" t="s">
        <v>2016</v>
      </c>
      <c r="B259" s="181" t="s">
        <v>4284</v>
      </c>
      <c r="C259" s="331">
        <v>247</v>
      </c>
      <c r="D259" s="168">
        <v>0</v>
      </c>
    </row>
    <row r="260" spans="1:4" ht="14.1" customHeight="1" x14ac:dyDescent="0.25">
      <c r="A260" s="180" t="s">
        <v>2017</v>
      </c>
      <c r="B260" s="181" t="s">
        <v>4285</v>
      </c>
      <c r="C260" s="331">
        <v>248</v>
      </c>
      <c r="D260" s="168">
        <v>0</v>
      </c>
    </row>
    <row r="261" spans="1:4" ht="14.1" customHeight="1" x14ac:dyDescent="0.25">
      <c r="A261" s="180" t="s">
        <v>2018</v>
      </c>
      <c r="B261" s="181" t="s">
        <v>4286</v>
      </c>
      <c r="C261" s="331">
        <v>249</v>
      </c>
      <c r="D261" s="168">
        <v>0</v>
      </c>
    </row>
    <row r="262" spans="1:4" ht="15" customHeight="1" x14ac:dyDescent="0.25">
      <c r="A262" s="180" t="s">
        <v>2019</v>
      </c>
      <c r="B262" s="182" t="s">
        <v>2065</v>
      </c>
      <c r="C262" s="331">
        <v>250</v>
      </c>
      <c r="D262" s="168">
        <v>0</v>
      </c>
    </row>
    <row r="263" spans="1:4" ht="14.1" customHeight="1" x14ac:dyDescent="0.25">
      <c r="A263" s="180" t="s">
        <v>2020</v>
      </c>
      <c r="B263" s="181" t="s">
        <v>2066</v>
      </c>
      <c r="C263" s="331">
        <v>251</v>
      </c>
      <c r="D263" s="168">
        <v>0</v>
      </c>
    </row>
    <row r="264" spans="1:4" ht="15" customHeight="1" x14ac:dyDescent="0.25">
      <c r="A264" s="180" t="s">
        <v>2021</v>
      </c>
      <c r="B264" s="182" t="s">
        <v>2067</v>
      </c>
      <c r="C264" s="331">
        <v>252</v>
      </c>
      <c r="D264" s="168">
        <v>0</v>
      </c>
    </row>
    <row r="265" spans="1:4" ht="14.1" customHeight="1" x14ac:dyDescent="0.25">
      <c r="A265" s="180" t="s">
        <v>2022</v>
      </c>
      <c r="B265" s="181" t="s">
        <v>2023</v>
      </c>
      <c r="C265" s="331">
        <v>253</v>
      </c>
      <c r="D265" s="168">
        <v>0</v>
      </c>
    </row>
    <row r="266" spans="1:4" ht="14.1" customHeight="1" x14ac:dyDescent="0.25">
      <c r="A266" s="180" t="s">
        <v>2024</v>
      </c>
      <c r="B266" s="181" t="s">
        <v>2069</v>
      </c>
      <c r="C266" s="331">
        <v>254</v>
      </c>
      <c r="D266" s="168">
        <v>0</v>
      </c>
    </row>
    <row r="267" spans="1:4" ht="14.1" customHeight="1" x14ac:dyDescent="0.25">
      <c r="A267" s="180" t="s">
        <v>2025</v>
      </c>
      <c r="B267" s="181" t="s">
        <v>2070</v>
      </c>
      <c r="C267" s="331">
        <v>255</v>
      </c>
      <c r="D267" s="168">
        <v>0</v>
      </c>
    </row>
    <row r="268" spans="1:4" ht="14.1" customHeight="1" x14ac:dyDescent="0.25">
      <c r="A268" s="180" t="s">
        <v>2026</v>
      </c>
      <c r="B268" s="181" t="s">
        <v>2027</v>
      </c>
      <c r="C268" s="331">
        <v>256</v>
      </c>
      <c r="D268" s="168">
        <v>0</v>
      </c>
    </row>
    <row r="269" spans="1:4" ht="14.1" customHeight="1" x14ac:dyDescent="0.25">
      <c r="A269" s="180" t="s">
        <v>2028</v>
      </c>
      <c r="B269" s="181" t="s">
        <v>2072</v>
      </c>
      <c r="C269" s="331">
        <v>257</v>
      </c>
      <c r="D269" s="168">
        <v>0</v>
      </c>
    </row>
    <row r="270" spans="1:4" ht="14.1" customHeight="1" x14ac:dyDescent="0.25">
      <c r="A270" s="180" t="s">
        <v>2029</v>
      </c>
      <c r="B270" s="181" t="s">
        <v>2073</v>
      </c>
      <c r="C270" s="331">
        <v>258</v>
      </c>
      <c r="D270" s="168">
        <v>0</v>
      </c>
    </row>
    <row r="271" spans="1:4" ht="14.1" customHeight="1" x14ac:dyDescent="0.25">
      <c r="A271" s="180" t="s">
        <v>2030</v>
      </c>
      <c r="B271" s="181" t="s">
        <v>3820</v>
      </c>
      <c r="C271" s="331">
        <v>259</v>
      </c>
      <c r="D271" s="168">
        <v>0</v>
      </c>
    </row>
    <row r="272" spans="1:4" ht="14.1" customHeight="1" x14ac:dyDescent="0.25">
      <c r="A272" s="180" t="s">
        <v>2031</v>
      </c>
      <c r="B272" s="181" t="s">
        <v>3821</v>
      </c>
      <c r="C272" s="331">
        <v>260</v>
      </c>
      <c r="D272" s="168">
        <v>0</v>
      </c>
    </row>
    <row r="273" spans="1:4" ht="14.1" customHeight="1" x14ac:dyDescent="0.25">
      <c r="A273" s="180" t="s">
        <v>2032</v>
      </c>
      <c r="B273" s="181" t="s">
        <v>2075</v>
      </c>
      <c r="C273" s="331">
        <v>261</v>
      </c>
      <c r="D273" s="168">
        <v>0</v>
      </c>
    </row>
    <row r="274" spans="1:4" ht="14.1" customHeight="1" x14ac:dyDescent="0.25">
      <c r="A274" s="180" t="s">
        <v>2033</v>
      </c>
      <c r="B274" s="181" t="s">
        <v>2076</v>
      </c>
      <c r="C274" s="331">
        <v>262</v>
      </c>
      <c r="D274" s="168">
        <v>0</v>
      </c>
    </row>
    <row r="275" spans="1:4" ht="14.1" customHeight="1" x14ac:dyDescent="0.25">
      <c r="A275" s="180" t="s">
        <v>2034</v>
      </c>
      <c r="B275" s="181" t="s">
        <v>2077</v>
      </c>
      <c r="C275" s="331">
        <v>263</v>
      </c>
      <c r="D275" s="168">
        <v>0</v>
      </c>
    </row>
    <row r="276" spans="1:4" ht="14.1" customHeight="1" x14ac:dyDescent="0.25">
      <c r="A276" s="180" t="s">
        <v>2035</v>
      </c>
      <c r="B276" s="181" t="s">
        <v>2078</v>
      </c>
      <c r="C276" s="331">
        <v>264</v>
      </c>
      <c r="D276" s="168">
        <v>0</v>
      </c>
    </row>
    <row r="277" spans="1:4" ht="14.1" customHeight="1" x14ac:dyDescent="0.25">
      <c r="A277" s="180" t="s">
        <v>2036</v>
      </c>
      <c r="B277" s="181" t="s">
        <v>2085</v>
      </c>
      <c r="C277" s="331">
        <v>265</v>
      </c>
      <c r="D277" s="168">
        <v>0</v>
      </c>
    </row>
    <row r="278" spans="1:4" ht="14.1" customHeight="1" x14ac:dyDescent="0.25">
      <c r="A278" s="180" t="s">
        <v>2037</v>
      </c>
      <c r="B278" s="181" t="s">
        <v>2086</v>
      </c>
      <c r="C278" s="331">
        <v>266</v>
      </c>
      <c r="D278" s="168">
        <v>0</v>
      </c>
    </row>
    <row r="279" spans="1:4" ht="14.1" customHeight="1" x14ac:dyDescent="0.25">
      <c r="A279" s="186" t="s">
        <v>2038</v>
      </c>
      <c r="B279" s="196" t="s">
        <v>2087</v>
      </c>
      <c r="C279" s="334">
        <v>267</v>
      </c>
      <c r="D279" s="188">
        <v>0</v>
      </c>
    </row>
    <row r="280" spans="1:4" ht="14.1" customHeight="1" x14ac:dyDescent="0.25">
      <c r="A280" s="199"/>
      <c r="B280" s="200" t="s">
        <v>2039</v>
      </c>
      <c r="C280" s="335">
        <v>268</v>
      </c>
      <c r="D280" s="194">
        <f>SUM(D244:D279)</f>
        <v>620733</v>
      </c>
    </row>
    <row r="281" spans="1:4" ht="14.1" customHeight="1" x14ac:dyDescent="0.25">
      <c r="A281" s="197">
        <v>31214</v>
      </c>
      <c r="B281" s="198" t="s">
        <v>348</v>
      </c>
      <c r="C281" s="330">
        <v>269</v>
      </c>
      <c r="D281" s="191">
        <v>0</v>
      </c>
    </row>
    <row r="282" spans="1:4" ht="14.1" customHeight="1" x14ac:dyDescent="0.25">
      <c r="A282" s="166">
        <v>31215</v>
      </c>
      <c r="B282" s="183" t="s">
        <v>366</v>
      </c>
      <c r="C282" s="331">
        <v>270</v>
      </c>
      <c r="D282" s="168">
        <v>0</v>
      </c>
    </row>
    <row r="283" spans="1:4" ht="14.1" customHeight="1" x14ac:dyDescent="0.25">
      <c r="A283" s="166">
        <v>32121</v>
      </c>
      <c r="B283" s="183" t="s">
        <v>351</v>
      </c>
      <c r="C283" s="331">
        <v>271</v>
      </c>
      <c r="D283" s="168">
        <v>35927</v>
      </c>
    </row>
    <row r="284" spans="1:4" ht="14.1" customHeight="1" x14ac:dyDescent="0.25">
      <c r="A284" s="166">
        <v>34131</v>
      </c>
      <c r="B284" s="183" t="s">
        <v>3747</v>
      </c>
      <c r="C284" s="331">
        <v>272</v>
      </c>
      <c r="D284" s="168">
        <v>0</v>
      </c>
    </row>
    <row r="285" spans="1:4" ht="14.1" customHeight="1" x14ac:dyDescent="0.25">
      <c r="A285" s="166">
        <v>34132</v>
      </c>
      <c r="B285" s="183" t="s">
        <v>3748</v>
      </c>
      <c r="C285" s="331">
        <v>273</v>
      </c>
      <c r="D285" s="168">
        <v>0</v>
      </c>
    </row>
    <row r="286" spans="1:4" ht="14.1" customHeight="1" x14ac:dyDescent="0.25">
      <c r="A286" s="166">
        <v>34213</v>
      </c>
      <c r="B286" s="183" t="s">
        <v>2977</v>
      </c>
      <c r="C286" s="331">
        <v>274</v>
      </c>
      <c r="D286" s="168">
        <v>0</v>
      </c>
    </row>
    <row r="287" spans="1:4" ht="14.1" customHeight="1" x14ac:dyDescent="0.25">
      <c r="A287" s="166">
        <v>34214</v>
      </c>
      <c r="B287" s="183" t="s">
        <v>374</v>
      </c>
      <c r="C287" s="331">
        <v>275</v>
      </c>
      <c r="D287" s="168">
        <v>0</v>
      </c>
    </row>
    <row r="288" spans="1:4" ht="14.1" customHeight="1" x14ac:dyDescent="0.25">
      <c r="A288" s="166">
        <v>34215</v>
      </c>
      <c r="B288" s="183" t="s">
        <v>375</v>
      </c>
      <c r="C288" s="331">
        <v>276</v>
      </c>
      <c r="D288" s="168">
        <v>0</v>
      </c>
    </row>
    <row r="289" spans="1:4" ht="14.1" customHeight="1" x14ac:dyDescent="0.25">
      <c r="A289" s="166">
        <v>34216</v>
      </c>
      <c r="B289" s="183" t="s">
        <v>376</v>
      </c>
      <c r="C289" s="331">
        <v>277</v>
      </c>
      <c r="D289" s="168">
        <v>0</v>
      </c>
    </row>
    <row r="290" spans="1:4" ht="14.1" customHeight="1" x14ac:dyDescent="0.25">
      <c r="A290" s="166">
        <v>34233</v>
      </c>
      <c r="B290" s="184" t="s">
        <v>1809</v>
      </c>
      <c r="C290" s="331">
        <v>278</v>
      </c>
      <c r="D290" s="168">
        <v>0</v>
      </c>
    </row>
    <row r="291" spans="1:4" ht="14.1" customHeight="1" x14ac:dyDescent="0.25">
      <c r="A291" s="166">
        <v>34234</v>
      </c>
      <c r="B291" s="184" t="s">
        <v>1810</v>
      </c>
      <c r="C291" s="331">
        <v>279</v>
      </c>
      <c r="D291" s="168">
        <v>0</v>
      </c>
    </row>
    <row r="292" spans="1:4" ht="14.1" customHeight="1" x14ac:dyDescent="0.25">
      <c r="A292" s="166">
        <v>34235</v>
      </c>
      <c r="B292" s="184" t="s">
        <v>1811</v>
      </c>
      <c r="C292" s="331">
        <v>280</v>
      </c>
      <c r="D292" s="168">
        <v>0</v>
      </c>
    </row>
    <row r="293" spans="1:4" ht="14.1" customHeight="1" x14ac:dyDescent="0.25">
      <c r="A293" s="166">
        <v>34236</v>
      </c>
      <c r="B293" s="184" t="s">
        <v>379</v>
      </c>
      <c r="C293" s="331">
        <v>281</v>
      </c>
      <c r="D293" s="168">
        <v>0</v>
      </c>
    </row>
    <row r="294" spans="1:4" ht="14.1" customHeight="1" x14ac:dyDescent="0.25">
      <c r="A294" s="166">
        <v>34237</v>
      </c>
      <c r="B294" s="184" t="s">
        <v>380</v>
      </c>
      <c r="C294" s="331">
        <v>282</v>
      </c>
      <c r="D294" s="168">
        <v>0</v>
      </c>
    </row>
    <row r="295" spans="1:4" ht="14.1" customHeight="1" x14ac:dyDescent="0.25">
      <c r="A295" s="166">
        <v>34238</v>
      </c>
      <c r="B295" s="184" t="s">
        <v>381</v>
      </c>
      <c r="C295" s="331">
        <v>283</v>
      </c>
      <c r="D295" s="168">
        <v>0</v>
      </c>
    </row>
    <row r="296" spans="1:4" ht="14.1" customHeight="1" x14ac:dyDescent="0.25">
      <c r="A296" s="166">
        <v>34273</v>
      </c>
      <c r="B296" s="184" t="s">
        <v>382</v>
      </c>
      <c r="C296" s="331">
        <v>284</v>
      </c>
      <c r="D296" s="168">
        <v>0</v>
      </c>
    </row>
    <row r="297" spans="1:4" ht="14.1" customHeight="1" x14ac:dyDescent="0.25">
      <c r="A297" s="166">
        <v>34274</v>
      </c>
      <c r="B297" s="184" t="s">
        <v>383</v>
      </c>
      <c r="C297" s="331">
        <v>285</v>
      </c>
      <c r="D297" s="168">
        <v>0</v>
      </c>
    </row>
    <row r="298" spans="1:4" ht="14.1" customHeight="1" x14ac:dyDescent="0.25">
      <c r="A298" s="166">
        <v>34275</v>
      </c>
      <c r="B298" s="184" t="s">
        <v>3394</v>
      </c>
      <c r="C298" s="331">
        <v>286</v>
      </c>
      <c r="D298" s="168">
        <v>0</v>
      </c>
    </row>
    <row r="299" spans="1:4" ht="14.1" customHeight="1" x14ac:dyDescent="0.25">
      <c r="A299" s="166">
        <v>34281</v>
      </c>
      <c r="B299" s="184" t="s">
        <v>3395</v>
      </c>
      <c r="C299" s="331">
        <v>287</v>
      </c>
      <c r="D299" s="168">
        <v>0</v>
      </c>
    </row>
    <row r="300" spans="1:4" ht="14.1" customHeight="1" x14ac:dyDescent="0.25">
      <c r="A300" s="166">
        <v>34282</v>
      </c>
      <c r="B300" s="184" t="s">
        <v>3396</v>
      </c>
      <c r="C300" s="331">
        <v>288</v>
      </c>
      <c r="D300" s="168">
        <v>0</v>
      </c>
    </row>
    <row r="301" spans="1:4" ht="14.1" customHeight="1" x14ac:dyDescent="0.25">
      <c r="A301" s="166">
        <v>34283</v>
      </c>
      <c r="B301" s="184" t="s">
        <v>3397</v>
      </c>
      <c r="C301" s="331">
        <v>289</v>
      </c>
      <c r="D301" s="168">
        <v>0</v>
      </c>
    </row>
    <row r="302" spans="1:4" ht="14.1" customHeight="1" x14ac:dyDescent="0.25">
      <c r="A302" s="166">
        <v>34284</v>
      </c>
      <c r="B302" s="184" t="s">
        <v>3398</v>
      </c>
      <c r="C302" s="331">
        <v>290</v>
      </c>
      <c r="D302" s="168">
        <v>0</v>
      </c>
    </row>
    <row r="303" spans="1:4" ht="14.1" customHeight="1" x14ac:dyDescent="0.25">
      <c r="A303" s="166">
        <v>34285</v>
      </c>
      <c r="B303" s="184" t="s">
        <v>3399</v>
      </c>
      <c r="C303" s="331">
        <v>291</v>
      </c>
      <c r="D303" s="168">
        <v>0</v>
      </c>
    </row>
    <row r="304" spans="1:4" ht="14.1" customHeight="1" x14ac:dyDescent="0.25">
      <c r="A304" s="166">
        <v>34286</v>
      </c>
      <c r="B304" s="184" t="s">
        <v>3400</v>
      </c>
      <c r="C304" s="331">
        <v>292</v>
      </c>
      <c r="D304" s="168">
        <v>0</v>
      </c>
    </row>
    <row r="305" spans="1:4" ht="14.1" customHeight="1" x14ac:dyDescent="0.25">
      <c r="A305" s="166">
        <v>34287</v>
      </c>
      <c r="B305" s="184" t="s">
        <v>3401</v>
      </c>
      <c r="C305" s="331">
        <v>293</v>
      </c>
      <c r="D305" s="168">
        <v>0</v>
      </c>
    </row>
    <row r="306" spans="1:4" ht="14.1" customHeight="1" x14ac:dyDescent="0.25">
      <c r="A306" s="166">
        <v>35231</v>
      </c>
      <c r="B306" s="184" t="s">
        <v>2040</v>
      </c>
      <c r="C306" s="331">
        <v>294</v>
      </c>
      <c r="D306" s="168">
        <v>205133</v>
      </c>
    </row>
    <row r="307" spans="1:4" ht="14.1" customHeight="1" x14ac:dyDescent="0.25">
      <c r="A307" s="166">
        <v>35232</v>
      </c>
      <c r="B307" s="184" t="s">
        <v>1537</v>
      </c>
      <c r="C307" s="331">
        <v>295</v>
      </c>
      <c r="D307" s="168">
        <v>0</v>
      </c>
    </row>
    <row r="308" spans="1:4" ht="14.1" customHeight="1" x14ac:dyDescent="0.25">
      <c r="A308" s="166" t="s">
        <v>2041</v>
      </c>
      <c r="B308" s="184" t="s">
        <v>3403</v>
      </c>
      <c r="C308" s="331">
        <v>296</v>
      </c>
      <c r="D308" s="168">
        <v>0</v>
      </c>
    </row>
    <row r="309" spans="1:4" ht="14.1" customHeight="1" x14ac:dyDescent="0.25">
      <c r="A309" s="166" t="s">
        <v>2042</v>
      </c>
      <c r="B309" s="184" t="s">
        <v>3404</v>
      </c>
      <c r="C309" s="331">
        <v>297</v>
      </c>
      <c r="D309" s="168">
        <v>34881</v>
      </c>
    </row>
    <row r="310" spans="1:4" ht="14.1" customHeight="1" x14ac:dyDescent="0.25">
      <c r="A310" s="166" t="s">
        <v>2043</v>
      </c>
      <c r="B310" s="184" t="s">
        <v>3405</v>
      </c>
      <c r="C310" s="331">
        <v>298</v>
      </c>
      <c r="D310" s="168">
        <v>0</v>
      </c>
    </row>
    <row r="311" spans="1:4" ht="14.1" customHeight="1" x14ac:dyDescent="0.25">
      <c r="A311" s="166" t="s">
        <v>2044</v>
      </c>
      <c r="B311" s="184" t="s">
        <v>3406</v>
      </c>
      <c r="C311" s="331">
        <v>299</v>
      </c>
      <c r="D311" s="168">
        <v>0</v>
      </c>
    </row>
    <row r="312" spans="1:4" ht="14.1" customHeight="1" x14ac:dyDescent="0.25">
      <c r="A312" s="166" t="s">
        <v>2045</v>
      </c>
      <c r="B312" s="184" t="s">
        <v>3407</v>
      </c>
      <c r="C312" s="331">
        <v>300</v>
      </c>
      <c r="D312" s="168">
        <v>0</v>
      </c>
    </row>
    <row r="313" spans="1:4" ht="14.1" customHeight="1" x14ac:dyDescent="0.25">
      <c r="A313" s="166" t="s">
        <v>2046</v>
      </c>
      <c r="B313" s="184" t="s">
        <v>3408</v>
      </c>
      <c r="C313" s="331">
        <v>301</v>
      </c>
      <c r="D313" s="168">
        <v>0</v>
      </c>
    </row>
    <row r="314" spans="1:4" ht="14.1" customHeight="1" x14ac:dyDescent="0.25">
      <c r="A314" s="166" t="s">
        <v>2047</v>
      </c>
      <c r="B314" s="184" t="s">
        <v>3409</v>
      </c>
      <c r="C314" s="331">
        <v>302</v>
      </c>
      <c r="D314" s="168">
        <v>0</v>
      </c>
    </row>
    <row r="315" spans="1:4" ht="14.1" customHeight="1" x14ac:dyDescent="0.25">
      <c r="A315" s="166" t="s">
        <v>2048</v>
      </c>
      <c r="B315" s="184" t="s">
        <v>3410</v>
      </c>
      <c r="C315" s="331">
        <v>303</v>
      </c>
      <c r="D315" s="168">
        <v>0</v>
      </c>
    </row>
    <row r="316" spans="1:4" ht="14.1" customHeight="1" x14ac:dyDescent="0.25">
      <c r="A316" s="166" t="s">
        <v>2049</v>
      </c>
      <c r="B316" s="184" t="s">
        <v>3411</v>
      </c>
      <c r="C316" s="331">
        <v>304</v>
      </c>
      <c r="D316" s="168">
        <v>0</v>
      </c>
    </row>
    <row r="317" spans="1:4" ht="14.1" customHeight="1" x14ac:dyDescent="0.25">
      <c r="A317" s="166" t="s">
        <v>2050</v>
      </c>
      <c r="B317" s="184" t="s">
        <v>3412</v>
      </c>
      <c r="C317" s="331">
        <v>305</v>
      </c>
      <c r="D317" s="168">
        <v>0</v>
      </c>
    </row>
    <row r="318" spans="1:4" ht="14.1" customHeight="1" x14ac:dyDescent="0.25">
      <c r="A318" s="166" t="s">
        <v>2051</v>
      </c>
      <c r="B318" s="184" t="s">
        <v>3413</v>
      </c>
      <c r="C318" s="331">
        <v>306</v>
      </c>
      <c r="D318" s="168">
        <v>0</v>
      </c>
    </row>
    <row r="319" spans="1:4" ht="14.1" customHeight="1" x14ac:dyDescent="0.25">
      <c r="A319" s="166" t="s">
        <v>2052</v>
      </c>
      <c r="B319" s="184" t="s">
        <v>3414</v>
      </c>
      <c r="C319" s="331">
        <v>307</v>
      </c>
      <c r="D319" s="168">
        <v>0</v>
      </c>
    </row>
    <row r="320" spans="1:4" ht="14.1" customHeight="1" x14ac:dyDescent="0.25">
      <c r="A320" s="166" t="s">
        <v>2053</v>
      </c>
      <c r="B320" s="184" t="s">
        <v>3415</v>
      </c>
      <c r="C320" s="331">
        <v>308</v>
      </c>
      <c r="D320" s="168">
        <v>0</v>
      </c>
    </row>
    <row r="321" spans="1:4" ht="14.1" customHeight="1" x14ac:dyDescent="0.25">
      <c r="A321" s="166" t="s">
        <v>2054</v>
      </c>
      <c r="B321" s="184" t="s">
        <v>3416</v>
      </c>
      <c r="C321" s="331">
        <v>309</v>
      </c>
      <c r="D321" s="168">
        <v>0</v>
      </c>
    </row>
    <row r="322" spans="1:4" ht="14.1" customHeight="1" x14ac:dyDescent="0.25">
      <c r="A322" s="166" t="s">
        <v>2055</v>
      </c>
      <c r="B322" s="184" t="s">
        <v>2056</v>
      </c>
      <c r="C322" s="331">
        <v>310</v>
      </c>
      <c r="D322" s="168">
        <v>0</v>
      </c>
    </row>
    <row r="323" spans="1:4" ht="14.1" customHeight="1" x14ac:dyDescent="0.25">
      <c r="A323" s="166" t="s">
        <v>2057</v>
      </c>
      <c r="B323" s="258" t="s">
        <v>2058</v>
      </c>
      <c r="C323" s="331">
        <v>311</v>
      </c>
      <c r="D323" s="168">
        <v>0</v>
      </c>
    </row>
    <row r="324" spans="1:4" ht="14.1" customHeight="1" x14ac:dyDescent="0.25">
      <c r="A324" s="166" t="s">
        <v>2059</v>
      </c>
      <c r="B324" s="184" t="s">
        <v>3419</v>
      </c>
      <c r="C324" s="331">
        <v>312</v>
      </c>
      <c r="D324" s="168">
        <v>0</v>
      </c>
    </row>
    <row r="325" spans="1:4" ht="14.1" customHeight="1" x14ac:dyDescent="0.25">
      <c r="A325" s="166" t="s">
        <v>2060</v>
      </c>
      <c r="B325" s="258" t="s">
        <v>2061</v>
      </c>
      <c r="C325" s="331">
        <v>313</v>
      </c>
      <c r="D325" s="168">
        <v>0</v>
      </c>
    </row>
    <row r="326" spans="1:4" ht="14.1" customHeight="1" x14ac:dyDescent="0.25">
      <c r="A326" s="166">
        <v>37215</v>
      </c>
      <c r="B326" s="181" t="s">
        <v>1090</v>
      </c>
      <c r="C326" s="331">
        <v>314</v>
      </c>
      <c r="D326" s="168">
        <v>0</v>
      </c>
    </row>
    <row r="327" spans="1:4" ht="14.1" customHeight="1" x14ac:dyDescent="0.25">
      <c r="A327" s="166">
        <v>37216</v>
      </c>
      <c r="B327" s="181" t="s">
        <v>3421</v>
      </c>
      <c r="C327" s="331">
        <v>315</v>
      </c>
      <c r="D327" s="168">
        <v>0</v>
      </c>
    </row>
    <row r="328" spans="1:4" ht="14.1" customHeight="1" x14ac:dyDescent="0.25">
      <c r="A328" s="166">
        <v>37221</v>
      </c>
      <c r="B328" s="181" t="s">
        <v>338</v>
      </c>
      <c r="C328" s="331">
        <v>316</v>
      </c>
      <c r="D328" s="168">
        <v>0</v>
      </c>
    </row>
    <row r="329" spans="1:4" ht="14.1" customHeight="1" x14ac:dyDescent="0.25">
      <c r="A329" s="180">
        <v>38612</v>
      </c>
      <c r="B329" s="181" t="s">
        <v>339</v>
      </c>
      <c r="C329" s="331">
        <v>317</v>
      </c>
      <c r="D329" s="168">
        <v>945013</v>
      </c>
    </row>
    <row r="330" spans="1:4" ht="14.1" customHeight="1" x14ac:dyDescent="0.25">
      <c r="A330" s="180" t="s">
        <v>2062</v>
      </c>
      <c r="B330" s="181" t="s">
        <v>3423</v>
      </c>
      <c r="C330" s="331">
        <v>318</v>
      </c>
      <c r="D330" s="168">
        <v>0</v>
      </c>
    </row>
    <row r="331" spans="1:4" ht="14.1" customHeight="1" x14ac:dyDescent="0.25">
      <c r="A331" s="180" t="s">
        <v>2063</v>
      </c>
      <c r="B331" s="181" t="s">
        <v>3424</v>
      </c>
      <c r="C331" s="331">
        <v>319</v>
      </c>
      <c r="D331" s="168">
        <v>0</v>
      </c>
    </row>
    <row r="332" spans="1:4" ht="14.1" customHeight="1" x14ac:dyDescent="0.25">
      <c r="A332" s="180" t="s">
        <v>2064</v>
      </c>
      <c r="B332" s="181" t="s">
        <v>3425</v>
      </c>
      <c r="C332" s="331">
        <v>320</v>
      </c>
      <c r="D332" s="168">
        <v>0</v>
      </c>
    </row>
    <row r="333" spans="1:4" ht="14.1" customHeight="1" x14ac:dyDescent="0.25">
      <c r="A333" s="180" t="s">
        <v>208</v>
      </c>
      <c r="B333" s="181" t="s">
        <v>340</v>
      </c>
      <c r="C333" s="331">
        <v>321</v>
      </c>
      <c r="D333" s="168">
        <v>0</v>
      </c>
    </row>
    <row r="334" spans="1:4" ht="14.1" customHeight="1" x14ac:dyDescent="0.25">
      <c r="A334" s="180" t="s">
        <v>209</v>
      </c>
      <c r="B334" s="181" t="s">
        <v>3426</v>
      </c>
      <c r="C334" s="331">
        <v>322</v>
      </c>
      <c r="D334" s="168">
        <v>0</v>
      </c>
    </row>
    <row r="335" spans="1:4" ht="14.1" customHeight="1" x14ac:dyDescent="0.25">
      <c r="A335" s="180" t="s">
        <v>210</v>
      </c>
      <c r="B335" s="181" t="s">
        <v>3427</v>
      </c>
      <c r="C335" s="331">
        <v>323</v>
      </c>
      <c r="D335" s="168">
        <v>0</v>
      </c>
    </row>
    <row r="336" spans="1:4" ht="14.1" customHeight="1" x14ac:dyDescent="0.25">
      <c r="A336" s="180" t="s">
        <v>211</v>
      </c>
      <c r="B336" s="181" t="s">
        <v>2370</v>
      </c>
      <c r="C336" s="331">
        <v>324</v>
      </c>
      <c r="D336" s="168">
        <v>0</v>
      </c>
    </row>
    <row r="337" spans="1:4" ht="14.1" customHeight="1" x14ac:dyDescent="0.25">
      <c r="A337" s="180" t="s">
        <v>212</v>
      </c>
      <c r="B337" s="185" t="s">
        <v>341</v>
      </c>
      <c r="C337" s="331">
        <v>325</v>
      </c>
      <c r="D337" s="168">
        <v>0</v>
      </c>
    </row>
    <row r="338" spans="1:4" ht="14.1" customHeight="1" x14ac:dyDescent="0.25">
      <c r="A338" s="186" t="s">
        <v>213</v>
      </c>
      <c r="B338" s="195" t="s">
        <v>2371</v>
      </c>
      <c r="C338" s="334">
        <v>326</v>
      </c>
      <c r="D338" s="188">
        <v>0</v>
      </c>
    </row>
    <row r="339" spans="1:4" ht="14.1" customHeight="1" x14ac:dyDescent="0.25">
      <c r="A339" s="192"/>
      <c r="B339" s="193" t="s">
        <v>214</v>
      </c>
      <c r="C339" s="335">
        <v>327</v>
      </c>
      <c r="D339" s="194">
        <f>SUM(D281:D338)</f>
        <v>1220954</v>
      </c>
    </row>
    <row r="340" spans="1:4" ht="14.1" customHeight="1" x14ac:dyDescent="0.25">
      <c r="A340" s="189" t="s">
        <v>215</v>
      </c>
      <c r="B340" s="190" t="s">
        <v>885</v>
      </c>
      <c r="C340" s="330">
        <v>328</v>
      </c>
      <c r="D340" s="191">
        <v>0</v>
      </c>
    </row>
    <row r="341" spans="1:4" ht="14.1" customHeight="1" x14ac:dyDescent="0.25">
      <c r="A341" s="180" t="s">
        <v>216</v>
      </c>
      <c r="B341" s="181" t="s">
        <v>886</v>
      </c>
      <c r="C341" s="331">
        <v>329</v>
      </c>
      <c r="D341" s="168">
        <v>0</v>
      </c>
    </row>
    <row r="342" spans="1:4" ht="14.1" customHeight="1" x14ac:dyDescent="0.25">
      <c r="A342" s="180" t="s">
        <v>217</v>
      </c>
      <c r="B342" s="181" t="s">
        <v>1057</v>
      </c>
      <c r="C342" s="331">
        <v>330</v>
      </c>
      <c r="D342" s="168">
        <v>0</v>
      </c>
    </row>
    <row r="343" spans="1:4" ht="14.1" customHeight="1" x14ac:dyDescent="0.25">
      <c r="A343" s="180" t="s">
        <v>218</v>
      </c>
      <c r="B343" s="181" t="s">
        <v>1058</v>
      </c>
      <c r="C343" s="331">
        <v>331</v>
      </c>
      <c r="D343" s="168">
        <v>0</v>
      </c>
    </row>
    <row r="344" spans="1:4" ht="14.1" customHeight="1" x14ac:dyDescent="0.25">
      <c r="A344" s="180" t="s">
        <v>219</v>
      </c>
      <c r="B344" s="181" t="s">
        <v>1059</v>
      </c>
      <c r="C344" s="331">
        <v>332</v>
      </c>
      <c r="D344" s="168">
        <v>0</v>
      </c>
    </row>
    <row r="345" spans="1:4" ht="14.1" customHeight="1" x14ac:dyDescent="0.25">
      <c r="A345" s="180" t="s">
        <v>220</v>
      </c>
      <c r="B345" s="181" t="s">
        <v>1060</v>
      </c>
      <c r="C345" s="331">
        <v>333</v>
      </c>
      <c r="D345" s="168">
        <v>0</v>
      </c>
    </row>
    <row r="346" spans="1:4" ht="14.1" customHeight="1" x14ac:dyDescent="0.25">
      <c r="A346" s="180" t="s">
        <v>221</v>
      </c>
      <c r="B346" s="181" t="s">
        <v>1061</v>
      </c>
      <c r="C346" s="331">
        <v>334</v>
      </c>
      <c r="D346" s="168">
        <v>0</v>
      </c>
    </row>
    <row r="347" spans="1:4" ht="14.1" customHeight="1" x14ac:dyDescent="0.25">
      <c r="A347" s="180" t="s">
        <v>222</v>
      </c>
      <c r="B347" s="181" t="s">
        <v>1062</v>
      </c>
      <c r="C347" s="331">
        <v>335</v>
      </c>
      <c r="D347" s="168">
        <v>0</v>
      </c>
    </row>
    <row r="348" spans="1:4" ht="14.1" customHeight="1" x14ac:dyDescent="0.25">
      <c r="A348" s="180" t="s">
        <v>223</v>
      </c>
      <c r="B348" s="181" t="s">
        <v>1063</v>
      </c>
      <c r="C348" s="331">
        <v>336</v>
      </c>
      <c r="D348" s="168">
        <v>0</v>
      </c>
    </row>
    <row r="349" spans="1:4" ht="14.1" customHeight="1" x14ac:dyDescent="0.25">
      <c r="A349" s="180" t="s">
        <v>224</v>
      </c>
      <c r="B349" s="181" t="s">
        <v>1064</v>
      </c>
      <c r="C349" s="331">
        <v>337</v>
      </c>
      <c r="D349" s="168">
        <v>0</v>
      </c>
    </row>
    <row r="350" spans="1:4" ht="14.1" customHeight="1" x14ac:dyDescent="0.25">
      <c r="A350" s="180" t="s">
        <v>225</v>
      </c>
      <c r="B350" s="181" t="s">
        <v>1065</v>
      </c>
      <c r="C350" s="331">
        <v>338</v>
      </c>
      <c r="D350" s="168">
        <v>0</v>
      </c>
    </row>
    <row r="351" spans="1:4" ht="14.1" customHeight="1" x14ac:dyDescent="0.25">
      <c r="A351" s="180" t="s">
        <v>226</v>
      </c>
      <c r="B351" s="181" t="s">
        <v>1066</v>
      </c>
      <c r="C351" s="331">
        <v>339</v>
      </c>
      <c r="D351" s="168">
        <v>0</v>
      </c>
    </row>
    <row r="352" spans="1:4" ht="14.1" customHeight="1" x14ac:dyDescent="0.25">
      <c r="A352" s="180" t="s">
        <v>227</v>
      </c>
      <c r="B352" s="182" t="s">
        <v>4116</v>
      </c>
      <c r="C352" s="331">
        <v>340</v>
      </c>
      <c r="D352" s="168">
        <v>0</v>
      </c>
    </row>
    <row r="353" spans="1:4" ht="14.1" customHeight="1" x14ac:dyDescent="0.25">
      <c r="A353" s="180" t="s">
        <v>228</v>
      </c>
      <c r="B353" s="182" t="s">
        <v>4117</v>
      </c>
      <c r="C353" s="331">
        <v>341</v>
      </c>
      <c r="D353" s="168">
        <v>0</v>
      </c>
    </row>
    <row r="354" spans="1:4" ht="14.1" customHeight="1" x14ac:dyDescent="0.25">
      <c r="A354" s="180" t="s">
        <v>229</v>
      </c>
      <c r="B354" s="181" t="s">
        <v>230</v>
      </c>
      <c r="C354" s="331">
        <v>342</v>
      </c>
      <c r="D354" s="168">
        <v>0</v>
      </c>
    </row>
    <row r="355" spans="1:4" ht="14.1" customHeight="1" x14ac:dyDescent="0.25">
      <c r="A355" s="180" t="s">
        <v>231</v>
      </c>
      <c r="B355" s="181" t="s">
        <v>4008</v>
      </c>
      <c r="C355" s="331">
        <v>343</v>
      </c>
      <c r="D355" s="168">
        <v>0</v>
      </c>
    </row>
    <row r="356" spans="1:4" ht="14.1" customHeight="1" x14ac:dyDescent="0.25">
      <c r="A356" s="180" t="s">
        <v>232</v>
      </c>
      <c r="B356" s="181" t="s">
        <v>233</v>
      </c>
      <c r="C356" s="331">
        <v>344</v>
      </c>
      <c r="D356" s="168">
        <v>0</v>
      </c>
    </row>
    <row r="357" spans="1:4" ht="14.1" customHeight="1" x14ac:dyDescent="0.25">
      <c r="A357" s="180" t="s">
        <v>234</v>
      </c>
      <c r="B357" s="181" t="s">
        <v>2472</v>
      </c>
      <c r="C357" s="331">
        <v>345</v>
      </c>
      <c r="D357" s="168">
        <v>0</v>
      </c>
    </row>
    <row r="358" spans="1:4" ht="14.1" customHeight="1" x14ac:dyDescent="0.25">
      <c r="A358" s="180" t="s">
        <v>235</v>
      </c>
      <c r="B358" s="181" t="s">
        <v>236</v>
      </c>
      <c r="C358" s="331">
        <v>346</v>
      </c>
      <c r="D358" s="168">
        <v>0</v>
      </c>
    </row>
    <row r="359" spans="1:4" ht="14.1" customHeight="1" x14ac:dyDescent="0.25">
      <c r="A359" s="180" t="s">
        <v>237</v>
      </c>
      <c r="B359" s="181" t="s">
        <v>2473</v>
      </c>
      <c r="C359" s="331">
        <v>347</v>
      </c>
      <c r="D359" s="168">
        <v>0</v>
      </c>
    </row>
    <row r="360" spans="1:4" ht="14.1" customHeight="1" x14ac:dyDescent="0.25">
      <c r="A360" s="180" t="s">
        <v>238</v>
      </c>
      <c r="B360" s="181" t="s">
        <v>239</v>
      </c>
      <c r="C360" s="331">
        <v>348</v>
      </c>
      <c r="D360" s="168">
        <v>0</v>
      </c>
    </row>
    <row r="361" spans="1:4" ht="14.1" customHeight="1" x14ac:dyDescent="0.25">
      <c r="A361" s="180" t="s">
        <v>240</v>
      </c>
      <c r="B361" s="181" t="s">
        <v>2474</v>
      </c>
      <c r="C361" s="331">
        <v>349</v>
      </c>
      <c r="D361" s="168">
        <v>0</v>
      </c>
    </row>
    <row r="362" spans="1:4" ht="14.1" customHeight="1" x14ac:dyDescent="0.25">
      <c r="A362" s="180" t="s">
        <v>241</v>
      </c>
      <c r="B362" s="181" t="s">
        <v>2490</v>
      </c>
      <c r="C362" s="331">
        <v>350</v>
      </c>
      <c r="D362" s="168">
        <v>0</v>
      </c>
    </row>
    <row r="363" spans="1:4" ht="14.1" customHeight="1" x14ac:dyDescent="0.25">
      <c r="A363" s="180" t="s">
        <v>242</v>
      </c>
      <c r="B363" s="181" t="s">
        <v>2491</v>
      </c>
      <c r="C363" s="331">
        <v>351</v>
      </c>
      <c r="D363" s="168">
        <v>0</v>
      </c>
    </row>
    <row r="364" spans="1:4" ht="14.1" customHeight="1" x14ac:dyDescent="0.25">
      <c r="A364" s="180" t="s">
        <v>243</v>
      </c>
      <c r="B364" s="181" t="s">
        <v>2492</v>
      </c>
      <c r="C364" s="331">
        <v>352</v>
      </c>
      <c r="D364" s="168">
        <v>0</v>
      </c>
    </row>
    <row r="365" spans="1:4" ht="14.1" customHeight="1" x14ac:dyDescent="0.25">
      <c r="A365" s="180" t="s">
        <v>244</v>
      </c>
      <c r="B365" s="181" t="s">
        <v>2493</v>
      </c>
      <c r="C365" s="331">
        <v>353</v>
      </c>
      <c r="D365" s="168">
        <v>0</v>
      </c>
    </row>
    <row r="366" spans="1:4" ht="14.1" customHeight="1" x14ac:dyDescent="0.25">
      <c r="A366" s="180" t="s">
        <v>245</v>
      </c>
      <c r="B366" s="181" t="s">
        <v>2494</v>
      </c>
      <c r="C366" s="331">
        <v>354</v>
      </c>
      <c r="D366" s="168">
        <v>0</v>
      </c>
    </row>
    <row r="367" spans="1:4" ht="14.1" customHeight="1" x14ac:dyDescent="0.25">
      <c r="A367" s="180" t="s">
        <v>246</v>
      </c>
      <c r="B367" s="181" t="s">
        <v>2495</v>
      </c>
      <c r="C367" s="331">
        <v>355</v>
      </c>
      <c r="D367" s="168">
        <v>0</v>
      </c>
    </row>
    <row r="368" spans="1:4" ht="14.1" customHeight="1" x14ac:dyDescent="0.25">
      <c r="A368" s="180" t="s">
        <v>247</v>
      </c>
      <c r="B368" s="181" t="s">
        <v>3637</v>
      </c>
      <c r="C368" s="331">
        <v>356</v>
      </c>
      <c r="D368" s="168">
        <v>0</v>
      </c>
    </row>
    <row r="369" spans="1:4" ht="14.1" customHeight="1" x14ac:dyDescent="0.25">
      <c r="A369" s="180" t="s">
        <v>248</v>
      </c>
      <c r="B369" s="181" t="s">
        <v>3638</v>
      </c>
      <c r="C369" s="331">
        <v>357</v>
      </c>
      <c r="D369" s="168">
        <v>0</v>
      </c>
    </row>
    <row r="370" spans="1:4" ht="14.1" customHeight="1" x14ac:dyDescent="0.25">
      <c r="A370" s="180" t="s">
        <v>249</v>
      </c>
      <c r="B370" s="181" t="s">
        <v>3773</v>
      </c>
      <c r="C370" s="331">
        <v>358</v>
      </c>
      <c r="D370" s="168">
        <v>0</v>
      </c>
    </row>
    <row r="371" spans="1:4" ht="14.1" customHeight="1" x14ac:dyDescent="0.25">
      <c r="A371" s="180" t="s">
        <v>250</v>
      </c>
      <c r="B371" s="181" t="s">
        <v>3480</v>
      </c>
      <c r="C371" s="331">
        <v>359</v>
      </c>
      <c r="D371" s="168">
        <v>0</v>
      </c>
    </row>
    <row r="372" spans="1:4" ht="14.1" customHeight="1" x14ac:dyDescent="0.25">
      <c r="A372" s="180" t="s">
        <v>251</v>
      </c>
      <c r="B372" s="181" t="s">
        <v>3481</v>
      </c>
      <c r="C372" s="331">
        <v>360</v>
      </c>
      <c r="D372" s="168">
        <v>0</v>
      </c>
    </row>
    <row r="373" spans="1:4" ht="14.1" customHeight="1" x14ac:dyDescent="0.25">
      <c r="A373" s="186" t="s">
        <v>252</v>
      </c>
      <c r="B373" s="187" t="s">
        <v>3482</v>
      </c>
      <c r="C373" s="334">
        <v>361</v>
      </c>
      <c r="D373" s="188">
        <v>0</v>
      </c>
    </row>
    <row r="374" spans="1:4" ht="14.1" customHeight="1" x14ac:dyDescent="0.25">
      <c r="A374" s="192"/>
      <c r="B374" s="193" t="s">
        <v>253</v>
      </c>
      <c r="C374" s="335">
        <v>362</v>
      </c>
      <c r="D374" s="194">
        <f>SUM(D340:D373)</f>
        <v>0</v>
      </c>
    </row>
    <row r="375" spans="1:4" ht="14.1" customHeight="1" x14ac:dyDescent="0.25">
      <c r="A375" s="189" t="s">
        <v>254</v>
      </c>
      <c r="B375" s="190" t="s">
        <v>255</v>
      </c>
      <c r="C375" s="330">
        <v>363</v>
      </c>
      <c r="D375" s="191">
        <v>0</v>
      </c>
    </row>
    <row r="376" spans="1:4" ht="14.1" customHeight="1" x14ac:dyDescent="0.25">
      <c r="A376" s="180" t="s">
        <v>256</v>
      </c>
      <c r="B376" s="181" t="s">
        <v>257</v>
      </c>
      <c r="C376" s="331">
        <v>364</v>
      </c>
      <c r="D376" s="168">
        <v>0</v>
      </c>
    </row>
    <row r="377" spans="1:4" ht="14.1" customHeight="1" x14ac:dyDescent="0.25">
      <c r="A377" s="180" t="s">
        <v>258</v>
      </c>
      <c r="B377" s="181" t="s">
        <v>259</v>
      </c>
      <c r="C377" s="331">
        <v>365</v>
      </c>
      <c r="D377" s="168">
        <v>0</v>
      </c>
    </row>
    <row r="378" spans="1:4" ht="14.1" customHeight="1" x14ac:dyDescent="0.25">
      <c r="A378" s="180" t="s">
        <v>260</v>
      </c>
      <c r="B378" s="181" t="s">
        <v>1368</v>
      </c>
      <c r="C378" s="331">
        <v>366</v>
      </c>
      <c r="D378" s="168">
        <v>0</v>
      </c>
    </row>
    <row r="379" spans="1:4" ht="14.1" customHeight="1" x14ac:dyDescent="0.25">
      <c r="A379" s="180" t="s">
        <v>1369</v>
      </c>
      <c r="B379" s="181" t="s">
        <v>361</v>
      </c>
      <c r="C379" s="331">
        <v>367</v>
      </c>
      <c r="D379" s="168">
        <v>0</v>
      </c>
    </row>
    <row r="380" spans="1:4" ht="14.1" customHeight="1" x14ac:dyDescent="0.25">
      <c r="A380" s="180" t="s">
        <v>362</v>
      </c>
      <c r="B380" s="181" t="s">
        <v>3712</v>
      </c>
      <c r="C380" s="331">
        <v>368</v>
      </c>
      <c r="D380" s="168">
        <v>0</v>
      </c>
    </row>
    <row r="381" spans="1:4" ht="14.1" customHeight="1" x14ac:dyDescent="0.25">
      <c r="A381" s="180" t="s">
        <v>3713</v>
      </c>
      <c r="B381" s="181" t="s">
        <v>3714</v>
      </c>
      <c r="C381" s="331">
        <v>369</v>
      </c>
      <c r="D381" s="168">
        <v>0</v>
      </c>
    </row>
    <row r="382" spans="1:4" ht="14.1" customHeight="1" x14ac:dyDescent="0.25">
      <c r="A382" s="180" t="s">
        <v>3715</v>
      </c>
      <c r="B382" s="181" t="s">
        <v>3716</v>
      </c>
      <c r="C382" s="331">
        <v>370</v>
      </c>
      <c r="D382" s="168">
        <v>0</v>
      </c>
    </row>
    <row r="383" spans="1:4" ht="14.1" customHeight="1" x14ac:dyDescent="0.25">
      <c r="A383" s="180" t="s">
        <v>3717</v>
      </c>
      <c r="B383" s="181" t="s">
        <v>3718</v>
      </c>
      <c r="C383" s="331">
        <v>371</v>
      </c>
      <c r="D383" s="168">
        <v>0</v>
      </c>
    </row>
    <row r="384" spans="1:4" ht="14.1" customHeight="1" x14ac:dyDescent="0.25">
      <c r="A384" s="180" t="s">
        <v>3719</v>
      </c>
      <c r="B384" s="181" t="s">
        <v>3720</v>
      </c>
      <c r="C384" s="331">
        <v>372</v>
      </c>
      <c r="D384" s="168">
        <v>0</v>
      </c>
    </row>
    <row r="385" spans="1:4" ht="14.1" customHeight="1" x14ac:dyDescent="0.25">
      <c r="A385" s="180" t="s">
        <v>3721</v>
      </c>
      <c r="B385" s="181" t="s">
        <v>3722</v>
      </c>
      <c r="C385" s="331">
        <v>373</v>
      </c>
      <c r="D385" s="168">
        <v>0</v>
      </c>
    </row>
    <row r="386" spans="1:4" ht="14.1" customHeight="1" x14ac:dyDescent="0.25">
      <c r="A386" s="180" t="s">
        <v>3723</v>
      </c>
      <c r="B386" s="181" t="s">
        <v>3724</v>
      </c>
      <c r="C386" s="331">
        <v>374</v>
      </c>
      <c r="D386" s="168">
        <v>0</v>
      </c>
    </row>
    <row r="387" spans="1:4" ht="14.1" customHeight="1" x14ac:dyDescent="0.25">
      <c r="A387" s="180" t="s">
        <v>3725</v>
      </c>
      <c r="B387" s="181" t="s">
        <v>3726</v>
      </c>
      <c r="C387" s="331">
        <v>375</v>
      </c>
      <c r="D387" s="168">
        <v>0</v>
      </c>
    </row>
    <row r="388" spans="1:4" ht="14.1" customHeight="1" x14ac:dyDescent="0.25">
      <c r="A388" s="180" t="s">
        <v>3727</v>
      </c>
      <c r="B388" s="181" t="s">
        <v>3728</v>
      </c>
      <c r="C388" s="331">
        <v>376</v>
      </c>
      <c r="D388" s="168">
        <v>0</v>
      </c>
    </row>
    <row r="389" spans="1:4" ht="14.1" customHeight="1" x14ac:dyDescent="0.25">
      <c r="A389" s="180" t="s">
        <v>3729</v>
      </c>
      <c r="B389" s="181" t="s">
        <v>3730</v>
      </c>
      <c r="C389" s="331">
        <v>377</v>
      </c>
      <c r="D389" s="168">
        <v>0</v>
      </c>
    </row>
    <row r="390" spans="1:4" ht="14.1" customHeight="1" x14ac:dyDescent="0.25">
      <c r="A390" s="180" t="s">
        <v>3731</v>
      </c>
      <c r="B390" s="181" t="s">
        <v>2641</v>
      </c>
      <c r="C390" s="331">
        <v>378</v>
      </c>
      <c r="D390" s="168">
        <v>0</v>
      </c>
    </row>
    <row r="391" spans="1:4" ht="14.1" customHeight="1" x14ac:dyDescent="0.25">
      <c r="A391" s="180" t="s">
        <v>2642</v>
      </c>
      <c r="B391" s="181" t="s">
        <v>2643</v>
      </c>
      <c r="C391" s="331">
        <v>379</v>
      </c>
      <c r="D391" s="168">
        <v>0</v>
      </c>
    </row>
    <row r="392" spans="1:4" ht="14.1" customHeight="1" x14ac:dyDescent="0.25">
      <c r="A392" s="180" t="s">
        <v>2644</v>
      </c>
      <c r="B392" s="181" t="s">
        <v>2645</v>
      </c>
      <c r="C392" s="331">
        <v>380</v>
      </c>
      <c r="D392" s="168">
        <v>0</v>
      </c>
    </row>
    <row r="393" spans="1:4" ht="14.1" customHeight="1" x14ac:dyDescent="0.25">
      <c r="A393" s="180" t="s">
        <v>2646</v>
      </c>
      <c r="B393" s="181" t="s">
        <v>2647</v>
      </c>
      <c r="C393" s="331">
        <v>381</v>
      </c>
      <c r="D393" s="168">
        <v>0</v>
      </c>
    </row>
    <row r="394" spans="1:4" ht="14.1" customHeight="1" x14ac:dyDescent="0.25">
      <c r="A394" s="180" t="s">
        <v>2648</v>
      </c>
      <c r="B394" s="181" t="s">
        <v>2649</v>
      </c>
      <c r="C394" s="331">
        <v>382</v>
      </c>
      <c r="D394" s="168">
        <v>0</v>
      </c>
    </row>
    <row r="395" spans="1:4" ht="14.1" customHeight="1" x14ac:dyDescent="0.25">
      <c r="A395" s="180" t="s">
        <v>2650</v>
      </c>
      <c r="B395" s="181" t="s">
        <v>2651</v>
      </c>
      <c r="C395" s="331">
        <v>383</v>
      </c>
      <c r="D395" s="168">
        <v>0</v>
      </c>
    </row>
    <row r="396" spans="1:4" ht="14.1" customHeight="1" x14ac:dyDescent="0.25">
      <c r="A396" s="180" t="s">
        <v>2652</v>
      </c>
      <c r="B396" s="181" t="s">
        <v>2653</v>
      </c>
      <c r="C396" s="331">
        <v>384</v>
      </c>
      <c r="D396" s="168">
        <v>0</v>
      </c>
    </row>
    <row r="397" spans="1:4" ht="14.1" customHeight="1" x14ac:dyDescent="0.25">
      <c r="A397" s="180" t="s">
        <v>2654</v>
      </c>
      <c r="B397" s="181" t="s">
        <v>2655</v>
      </c>
      <c r="C397" s="331">
        <v>385</v>
      </c>
      <c r="D397" s="168">
        <v>0</v>
      </c>
    </row>
    <row r="398" spans="1:4" ht="14.1" customHeight="1" x14ac:dyDescent="0.25">
      <c r="A398" s="180" t="s">
        <v>3428</v>
      </c>
      <c r="B398" s="181" t="s">
        <v>3429</v>
      </c>
      <c r="C398" s="331">
        <v>386</v>
      </c>
      <c r="D398" s="168">
        <v>0</v>
      </c>
    </row>
    <row r="399" spans="1:4" ht="14.1" customHeight="1" x14ac:dyDescent="0.25">
      <c r="A399" s="180" t="s">
        <v>3430</v>
      </c>
      <c r="B399" s="181" t="s">
        <v>887</v>
      </c>
      <c r="C399" s="331">
        <v>387</v>
      </c>
      <c r="D399" s="168">
        <v>0</v>
      </c>
    </row>
    <row r="400" spans="1:4" ht="14.1" customHeight="1" x14ac:dyDescent="0.25">
      <c r="A400" s="180" t="s">
        <v>888</v>
      </c>
      <c r="B400" s="181" t="s">
        <v>889</v>
      </c>
      <c r="C400" s="331">
        <v>388</v>
      </c>
      <c r="D400" s="168">
        <v>0</v>
      </c>
    </row>
    <row r="401" spans="1:4" ht="14.1" customHeight="1" x14ac:dyDescent="0.25">
      <c r="A401" s="180" t="s">
        <v>890</v>
      </c>
      <c r="B401" s="181" t="s">
        <v>891</v>
      </c>
      <c r="C401" s="331">
        <v>389</v>
      </c>
      <c r="D401" s="168">
        <v>0</v>
      </c>
    </row>
    <row r="402" spans="1:4" ht="14.1" customHeight="1" x14ac:dyDescent="0.25">
      <c r="A402" s="180" t="s">
        <v>892</v>
      </c>
      <c r="B402" s="181" t="s">
        <v>893</v>
      </c>
      <c r="C402" s="331">
        <v>390</v>
      </c>
      <c r="D402" s="168">
        <v>0</v>
      </c>
    </row>
    <row r="403" spans="1:4" ht="14.1" customHeight="1" x14ac:dyDescent="0.25">
      <c r="A403" s="180" t="s">
        <v>894</v>
      </c>
      <c r="B403" s="181" t="s">
        <v>895</v>
      </c>
      <c r="C403" s="331">
        <v>391</v>
      </c>
      <c r="D403" s="168">
        <v>0</v>
      </c>
    </row>
    <row r="404" spans="1:4" ht="14.1" customHeight="1" x14ac:dyDescent="0.25">
      <c r="A404" s="180" t="s">
        <v>896</v>
      </c>
      <c r="B404" s="181" t="s">
        <v>897</v>
      </c>
      <c r="C404" s="331">
        <v>392</v>
      </c>
      <c r="D404" s="168">
        <v>0</v>
      </c>
    </row>
    <row r="405" spans="1:4" ht="14.1" customHeight="1" x14ac:dyDescent="0.25">
      <c r="A405" s="180" t="s">
        <v>898</v>
      </c>
      <c r="B405" s="181" t="s">
        <v>2183</v>
      </c>
      <c r="C405" s="331">
        <v>393</v>
      </c>
      <c r="D405" s="168">
        <v>0</v>
      </c>
    </row>
    <row r="406" spans="1:4" ht="14.1" customHeight="1" x14ac:dyDescent="0.25">
      <c r="A406" s="180" t="s">
        <v>2184</v>
      </c>
      <c r="B406" s="181" t="s">
        <v>2185</v>
      </c>
      <c r="C406" s="331">
        <v>394</v>
      </c>
      <c r="D406" s="168">
        <v>0</v>
      </c>
    </row>
    <row r="407" spans="1:4" ht="14.1" customHeight="1" x14ac:dyDescent="0.25">
      <c r="A407" s="180" t="s">
        <v>2186</v>
      </c>
      <c r="B407" s="182" t="s">
        <v>1361</v>
      </c>
      <c r="C407" s="331">
        <v>395</v>
      </c>
      <c r="D407" s="168">
        <v>0</v>
      </c>
    </row>
    <row r="408" spans="1:4" ht="14.1" customHeight="1" x14ac:dyDescent="0.25">
      <c r="A408" s="180" t="s">
        <v>1362</v>
      </c>
      <c r="B408" s="182" t="s">
        <v>1363</v>
      </c>
      <c r="C408" s="331">
        <v>396</v>
      </c>
      <c r="D408" s="168">
        <v>0</v>
      </c>
    </row>
    <row r="409" spans="1:4" ht="24.9" customHeight="1" x14ac:dyDescent="0.25">
      <c r="A409" s="180" t="s">
        <v>1364</v>
      </c>
      <c r="B409" s="172" t="s">
        <v>1365</v>
      </c>
      <c r="C409" s="331">
        <v>397</v>
      </c>
      <c r="D409" s="168">
        <v>0</v>
      </c>
    </row>
    <row r="410" spans="1:4" ht="24.9" customHeight="1" x14ac:dyDescent="0.25">
      <c r="A410" s="186" t="s">
        <v>1366</v>
      </c>
      <c r="B410" s="204" t="s">
        <v>1239</v>
      </c>
      <c r="C410" s="334">
        <v>398</v>
      </c>
      <c r="D410" s="188">
        <v>0</v>
      </c>
    </row>
    <row r="411" spans="1:4" ht="14.1" customHeight="1" x14ac:dyDescent="0.25">
      <c r="A411" s="205"/>
      <c r="B411" s="206" t="s">
        <v>1240</v>
      </c>
      <c r="C411" s="336">
        <v>399</v>
      </c>
      <c r="D411" s="207">
        <f>SUM(D375:D410)</f>
        <v>0</v>
      </c>
    </row>
    <row r="412" spans="1:4" ht="5.0999999999999996" customHeight="1" x14ac:dyDescent="0.25"/>
  </sheetData>
  <sheetProtection password="C79A" sheet="1" objects="1" scenarios="1"/>
  <mergeCells count="10">
    <mergeCell ref="A243:D243"/>
    <mergeCell ref="A2:B2"/>
    <mergeCell ref="A1:B1"/>
    <mergeCell ref="C2:D2"/>
    <mergeCell ref="C1:D1"/>
    <mergeCell ref="A3:B3"/>
    <mergeCell ref="B4:F4"/>
    <mergeCell ref="B5:F5"/>
    <mergeCell ref="B6:F6"/>
    <mergeCell ref="B7:F7"/>
  </mergeCells>
  <phoneticPr fontId="10" type="noConversion"/>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D242 D244:D411">
      <formula1>9999999999</formula1>
    </dataValidation>
  </dataValidations>
  <hyperlinks>
    <hyperlink ref="B1" location="Upute!B1" display="Upute"/>
    <hyperlink ref="D1" location="Promjene!A1" display="Promjene"/>
    <hyperlink ref="C1:D1" location="Kont!A262" tooltip="Pregled kontrola obrasca NT" display="Kontrole NT"/>
    <hyperlink ref="A1:B1" location="RefStr!B6" tooltip="Povratak na radni list Referentna stranica" display="&lt;–––– Povratak na naslovnu"/>
  </hyperlinks>
  <printOptions horizontalCentered="1"/>
  <pageMargins left="0.39370078740157483" right="0.39370078740157483" top="0.59055118110236227" bottom="0.78740157480314965" header="0.55118110236220474" footer="0.59055118110236227"/>
  <pageSetup paperSize="9" scale="85" fitToHeight="0" orientation="portrait"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F149"/>
  <sheetViews>
    <sheetView showGridLines="0" showRowColHeaders="0" workbookViewId="0">
      <selection activeCell="C1" sqref="C1:F1"/>
    </sheetView>
  </sheetViews>
  <sheetFormatPr defaultColWidth="0" defaultRowHeight="13.2" zeroHeight="1" x14ac:dyDescent="0.25"/>
  <cols>
    <col min="1" max="1" width="7.6640625" style="4" customWidth="1"/>
    <col min="2" max="2" width="70.6640625" style="4" customWidth="1"/>
    <col min="3" max="3" width="4.33203125" style="4" customWidth="1"/>
    <col min="4" max="5" width="15.6640625" style="4" customWidth="1"/>
    <col min="6" max="6" width="6.88671875" style="4" customWidth="1"/>
    <col min="7" max="7" width="0.88671875" style="4" customWidth="1"/>
    <col min="8" max="16384" width="0" style="4" hidden="1"/>
  </cols>
  <sheetData>
    <row r="1" spans="1:6" s="1" customFormat="1" ht="20.100000000000001" customHeight="1" thickBot="1" x14ac:dyDescent="0.3">
      <c r="A1" s="561" t="s">
        <v>4155</v>
      </c>
      <c r="B1" s="562"/>
      <c r="C1" s="563" t="s">
        <v>4156</v>
      </c>
      <c r="D1" s="563"/>
      <c r="E1" s="563"/>
      <c r="F1" s="563"/>
    </row>
    <row r="2" spans="1:6" ht="39.9" customHeight="1" thickBot="1" x14ac:dyDescent="0.3">
      <c r="A2" s="567" t="s">
        <v>4373</v>
      </c>
      <c r="B2" s="567"/>
      <c r="C2" s="567"/>
      <c r="D2" s="568"/>
      <c r="E2" s="565" t="s">
        <v>2193</v>
      </c>
      <c r="F2" s="566"/>
    </row>
    <row r="3" spans="1:6" ht="30" customHeight="1" x14ac:dyDescent="0.25">
      <c r="A3" s="564" t="str">
        <f>IF(RefStr!F6&lt;&gt;"",LOOKUP(RefStr!F6,RefStr!N40:N64,RefStr!Q40:Q64)," - prije popunjavanja obrasca izaberite razdoblje -")</f>
        <v>za razdoblje 1. siječnja do 31. prosinca 2014. godine</v>
      </c>
      <c r="B3" s="564"/>
      <c r="C3" s="564"/>
      <c r="D3" s="564"/>
      <c r="E3" s="28"/>
      <c r="F3" s="28"/>
    </row>
    <row r="4" spans="1:6" ht="15" customHeight="1" x14ac:dyDescent="0.25">
      <c r="A4" s="59" t="s">
        <v>3293</v>
      </c>
      <c r="B4" s="528" t="str">
        <f xml:space="preserve"> "RKP: " &amp; TEXT(INT(VALUE(RefStr!B6)),"00000") &amp; ",  " &amp; "MB: " &amp; TEXT(INT(VALUE(RefStr!B8)), "00000000") &amp; "  " &amp; RefStr!B10</f>
        <v>RKP: 281186,  MB: 02745658  OPĆINA SOKOLOVAC</v>
      </c>
      <c r="C4" s="529"/>
      <c r="D4" s="529"/>
      <c r="E4" s="529"/>
      <c r="F4" s="529"/>
    </row>
    <row r="5" spans="1:6" ht="15" customHeight="1" x14ac:dyDescent="0.25">
      <c r="A5" s="62"/>
      <c r="B5" s="528" t="str">
        <f>RefStr!B12 &amp; " " &amp; RefStr!C12 &amp; ", " &amp; RefStr!B14</f>
        <v>48306 Sokolovac, Trg dr. Bardeka 8</v>
      </c>
      <c r="C5" s="529"/>
      <c r="D5" s="529"/>
      <c r="E5" s="529"/>
      <c r="F5" s="529"/>
    </row>
    <row r="6" spans="1:6" ht="15" customHeight="1" x14ac:dyDescent="0.25">
      <c r="A6" s="63"/>
      <c r="B6" s="530" t="str">
        <f xml:space="preserve"> "Razina: " &amp; RefStr!B16 &amp; ", Razdjel: " &amp; TEXT(INT(VALUE(RefStr!B20)), "000")</f>
        <v>Razina: 22, Razdjel: 000</v>
      </c>
      <c r="C6" s="531"/>
      <c r="D6" s="531"/>
      <c r="E6" s="531"/>
      <c r="F6" s="531"/>
    </row>
    <row r="7" spans="1:6" ht="15" customHeight="1" x14ac:dyDescent="0.25">
      <c r="A7" s="63"/>
      <c r="B7" s="530" t="str">
        <f>"Djelatnost: " &amp; RefStr!B18 &amp; " " &amp; RefStr!C18</f>
        <v>Djelatnost: 8411 Opće djelatnosti javne uprave</v>
      </c>
      <c r="C7" s="531"/>
      <c r="D7" s="531"/>
      <c r="E7" s="531"/>
      <c r="F7" s="531"/>
    </row>
    <row r="8" spans="1:6" ht="15" customHeight="1" x14ac:dyDescent="0.25">
      <c r="A8" s="27"/>
      <c r="B8" s="28"/>
      <c r="C8" s="28"/>
      <c r="D8" s="28"/>
      <c r="E8" s="28"/>
      <c r="F8" s="28"/>
    </row>
    <row r="9" spans="1:6" ht="14.25" customHeight="1" x14ac:dyDescent="0.25">
      <c r="A9" s="11"/>
      <c r="B9" s="11"/>
      <c r="C9" s="11"/>
      <c r="D9" s="11"/>
      <c r="E9" s="5"/>
      <c r="F9" s="12" t="s">
        <v>286</v>
      </c>
    </row>
    <row r="10" spans="1:6" ht="35.1" customHeight="1" x14ac:dyDescent="0.25">
      <c r="A10" s="284" t="s">
        <v>968</v>
      </c>
      <c r="B10" s="20" t="s">
        <v>1770</v>
      </c>
      <c r="C10" s="21" t="s">
        <v>4501</v>
      </c>
      <c r="D10" s="110" t="s">
        <v>958</v>
      </c>
      <c r="E10" s="110" t="s">
        <v>959</v>
      </c>
      <c r="F10" s="19" t="s">
        <v>3574</v>
      </c>
    </row>
    <row r="11" spans="1:6" ht="12" customHeight="1" x14ac:dyDescent="0.25">
      <c r="A11" s="107">
        <v>1</v>
      </c>
      <c r="B11" s="108">
        <v>2</v>
      </c>
      <c r="C11" s="109">
        <v>3</v>
      </c>
      <c r="D11" s="109">
        <v>4</v>
      </c>
      <c r="E11" s="107">
        <v>5</v>
      </c>
      <c r="F11" s="107">
        <v>6</v>
      </c>
    </row>
    <row r="12" spans="1:6" ht="14.1" customHeight="1" x14ac:dyDescent="0.25">
      <c r="A12" s="274" t="s">
        <v>1097</v>
      </c>
      <c r="B12" s="275" t="s">
        <v>960</v>
      </c>
      <c r="C12" s="333">
        <v>1</v>
      </c>
      <c r="D12" s="212">
        <f>D13+D17+D20+SUM(D24:D28)</f>
        <v>1261341</v>
      </c>
      <c r="E12" s="212">
        <f>E13+E17+E20+SUM(E24:E28)</f>
        <v>869402</v>
      </c>
      <c r="F12" s="213">
        <f>IF(D12&gt;0,IF(E12/D12&gt;=100,"&gt;&gt;100",E12/D12*100),"-")</f>
        <v>68.926800920607505</v>
      </c>
    </row>
    <row r="13" spans="1:6" ht="14.1" customHeight="1" x14ac:dyDescent="0.25">
      <c r="A13" s="276" t="s">
        <v>1546</v>
      </c>
      <c r="B13" s="219" t="s">
        <v>967</v>
      </c>
      <c r="C13" s="331">
        <v>2</v>
      </c>
      <c r="D13" s="216">
        <f>SUM(D14:D16)</f>
        <v>602669</v>
      </c>
      <c r="E13" s="216">
        <f>SUM(E14:E16)</f>
        <v>311387</v>
      </c>
      <c r="F13" s="217">
        <f>IF(D13&gt;0,IF(E13/D13&gt;=100,"&gt;&gt;100",E13/D13*100),"-")</f>
        <v>51.667996860631625</v>
      </c>
    </row>
    <row r="14" spans="1:6" ht="14.1" customHeight="1" x14ac:dyDescent="0.25">
      <c r="A14" s="276" t="s">
        <v>4375</v>
      </c>
      <c r="B14" s="277" t="s">
        <v>2318</v>
      </c>
      <c r="C14" s="331">
        <v>3</v>
      </c>
      <c r="D14" s="218">
        <v>602669</v>
      </c>
      <c r="E14" s="218">
        <v>311387</v>
      </c>
      <c r="F14" s="217">
        <f t="shared" ref="F14:F77" si="0">IF(D14&gt;0,IF(E14/D14&gt;=100,"&gt;&gt;100",E14/D14*100),"-")</f>
        <v>51.667996860631625</v>
      </c>
    </row>
    <row r="15" spans="1:6" ht="14.1" customHeight="1" x14ac:dyDescent="0.25">
      <c r="A15" s="276" t="s">
        <v>2319</v>
      </c>
      <c r="B15" s="277" t="s">
        <v>2320</v>
      </c>
      <c r="C15" s="331">
        <v>4</v>
      </c>
      <c r="D15" s="218">
        <v>0</v>
      </c>
      <c r="E15" s="218">
        <v>0</v>
      </c>
      <c r="F15" s="217" t="str">
        <f t="shared" si="0"/>
        <v>-</v>
      </c>
    </row>
    <row r="16" spans="1:6" ht="14.1" customHeight="1" x14ac:dyDescent="0.25">
      <c r="A16" s="276" t="s">
        <v>2321</v>
      </c>
      <c r="B16" s="277" t="s">
        <v>4485</v>
      </c>
      <c r="C16" s="331">
        <v>5</v>
      </c>
      <c r="D16" s="218">
        <v>0</v>
      </c>
      <c r="E16" s="218">
        <v>0</v>
      </c>
      <c r="F16" s="217" t="str">
        <f t="shared" si="0"/>
        <v>-</v>
      </c>
    </row>
    <row r="17" spans="1:6" ht="14.1" customHeight="1" x14ac:dyDescent="0.25">
      <c r="A17" s="276" t="s">
        <v>1548</v>
      </c>
      <c r="B17" s="277" t="s">
        <v>2322</v>
      </c>
      <c r="C17" s="331">
        <v>6</v>
      </c>
      <c r="D17" s="216">
        <f>SUM(D18:D19)</f>
        <v>0</v>
      </c>
      <c r="E17" s="216">
        <f>SUM(E18:E19)</f>
        <v>0</v>
      </c>
      <c r="F17" s="217" t="str">
        <f t="shared" si="0"/>
        <v>-</v>
      </c>
    </row>
    <row r="18" spans="1:6" ht="14.1" customHeight="1" x14ac:dyDescent="0.25">
      <c r="A18" s="276" t="s">
        <v>2323</v>
      </c>
      <c r="B18" s="277" t="s">
        <v>2324</v>
      </c>
      <c r="C18" s="331">
        <v>7</v>
      </c>
      <c r="D18" s="218">
        <v>0</v>
      </c>
      <c r="E18" s="218">
        <v>0</v>
      </c>
      <c r="F18" s="217" t="str">
        <f t="shared" si="0"/>
        <v>-</v>
      </c>
    </row>
    <row r="19" spans="1:6" ht="14.1" customHeight="1" x14ac:dyDescent="0.25">
      <c r="A19" s="276" t="s">
        <v>2325</v>
      </c>
      <c r="B19" s="277" t="s">
        <v>4109</v>
      </c>
      <c r="C19" s="331">
        <v>8</v>
      </c>
      <c r="D19" s="218">
        <v>0</v>
      </c>
      <c r="E19" s="218">
        <v>0</v>
      </c>
      <c r="F19" s="217" t="str">
        <f t="shared" si="0"/>
        <v>-</v>
      </c>
    </row>
    <row r="20" spans="1:6" ht="14.1" customHeight="1" x14ac:dyDescent="0.25">
      <c r="A20" s="276" t="s">
        <v>4110</v>
      </c>
      <c r="B20" s="277" t="s">
        <v>2840</v>
      </c>
      <c r="C20" s="331">
        <v>9</v>
      </c>
      <c r="D20" s="216">
        <f>SUM(D21:D23)</f>
        <v>639137</v>
      </c>
      <c r="E20" s="216">
        <f>SUM(E21:E23)</f>
        <v>550397</v>
      </c>
      <c r="F20" s="217">
        <f t="shared" si="0"/>
        <v>86.115652825607029</v>
      </c>
    </row>
    <row r="21" spans="1:6" ht="14.1" customHeight="1" x14ac:dyDescent="0.25">
      <c r="A21" s="276" t="s">
        <v>4111</v>
      </c>
      <c r="B21" s="277" t="s">
        <v>2873</v>
      </c>
      <c r="C21" s="331">
        <v>10</v>
      </c>
      <c r="D21" s="218">
        <v>502214</v>
      </c>
      <c r="E21" s="218">
        <v>499103</v>
      </c>
      <c r="F21" s="217">
        <f t="shared" si="0"/>
        <v>99.380542955791753</v>
      </c>
    </row>
    <row r="22" spans="1:6" ht="14.1" customHeight="1" x14ac:dyDescent="0.25">
      <c r="A22" s="276" t="s">
        <v>2874</v>
      </c>
      <c r="B22" s="277" t="s">
        <v>2994</v>
      </c>
      <c r="C22" s="331">
        <v>11</v>
      </c>
      <c r="D22" s="218">
        <v>0</v>
      </c>
      <c r="E22" s="218">
        <v>0</v>
      </c>
      <c r="F22" s="217" t="str">
        <f t="shared" si="0"/>
        <v>-</v>
      </c>
    </row>
    <row r="23" spans="1:6" ht="14.1" customHeight="1" x14ac:dyDescent="0.25">
      <c r="A23" s="276" t="s">
        <v>2995</v>
      </c>
      <c r="B23" s="277" t="s">
        <v>2996</v>
      </c>
      <c r="C23" s="331">
        <v>12</v>
      </c>
      <c r="D23" s="218">
        <v>136923</v>
      </c>
      <c r="E23" s="218">
        <v>51294</v>
      </c>
      <c r="F23" s="217">
        <f t="shared" si="0"/>
        <v>37.461931158388289</v>
      </c>
    </row>
    <row r="24" spans="1:6" ht="14.1" customHeight="1" x14ac:dyDescent="0.25">
      <c r="A24" s="276" t="s">
        <v>2997</v>
      </c>
      <c r="B24" s="277" t="s">
        <v>2865</v>
      </c>
      <c r="C24" s="331">
        <v>13</v>
      </c>
      <c r="D24" s="218">
        <v>0</v>
      </c>
      <c r="E24" s="218">
        <v>0</v>
      </c>
      <c r="F24" s="217" t="str">
        <f t="shared" si="0"/>
        <v>-</v>
      </c>
    </row>
    <row r="25" spans="1:6" ht="14.1" customHeight="1" x14ac:dyDescent="0.25">
      <c r="A25" s="276" t="s">
        <v>2866</v>
      </c>
      <c r="B25" s="277" t="s">
        <v>2867</v>
      </c>
      <c r="C25" s="331">
        <v>14</v>
      </c>
      <c r="D25" s="218">
        <v>0</v>
      </c>
      <c r="E25" s="218">
        <v>0</v>
      </c>
      <c r="F25" s="217" t="str">
        <f t="shared" si="0"/>
        <v>-</v>
      </c>
    </row>
    <row r="26" spans="1:6" ht="14.1" customHeight="1" x14ac:dyDescent="0.25">
      <c r="A26" s="276" t="s">
        <v>2868</v>
      </c>
      <c r="B26" s="277" t="s">
        <v>2869</v>
      </c>
      <c r="C26" s="331">
        <v>15</v>
      </c>
      <c r="D26" s="218">
        <v>19535</v>
      </c>
      <c r="E26" s="218">
        <v>7618</v>
      </c>
      <c r="F26" s="217">
        <f t="shared" si="0"/>
        <v>38.99667263885334</v>
      </c>
    </row>
    <row r="27" spans="1:6" ht="14.1" customHeight="1" x14ac:dyDescent="0.25">
      <c r="A27" s="276" t="s">
        <v>2870</v>
      </c>
      <c r="B27" s="277" t="s">
        <v>2871</v>
      </c>
      <c r="C27" s="331">
        <v>16</v>
      </c>
      <c r="D27" s="218">
        <v>0</v>
      </c>
      <c r="E27" s="218">
        <v>0</v>
      </c>
      <c r="F27" s="217" t="str">
        <f t="shared" si="0"/>
        <v>-</v>
      </c>
    </row>
    <row r="28" spans="1:6" ht="14.1" customHeight="1" x14ac:dyDescent="0.25">
      <c r="A28" s="276" t="s">
        <v>2872</v>
      </c>
      <c r="B28" s="277" t="s">
        <v>2978</v>
      </c>
      <c r="C28" s="331">
        <v>17</v>
      </c>
      <c r="D28" s="218">
        <v>0</v>
      </c>
      <c r="E28" s="218">
        <v>0</v>
      </c>
      <c r="F28" s="217" t="str">
        <f t="shared" si="0"/>
        <v>-</v>
      </c>
    </row>
    <row r="29" spans="1:6" ht="14.1" customHeight="1" x14ac:dyDescent="0.25">
      <c r="A29" s="276" t="s">
        <v>3101</v>
      </c>
      <c r="B29" s="277" t="s">
        <v>2839</v>
      </c>
      <c r="C29" s="331">
        <v>18</v>
      </c>
      <c r="D29" s="216">
        <f>SUM(D30:D34)</f>
        <v>0</v>
      </c>
      <c r="E29" s="216">
        <f>SUM(E30:E34)</f>
        <v>1323</v>
      </c>
      <c r="F29" s="217" t="str">
        <f t="shared" si="0"/>
        <v>-</v>
      </c>
    </row>
    <row r="30" spans="1:6" ht="14.1" customHeight="1" x14ac:dyDescent="0.25">
      <c r="A30" s="276" t="s">
        <v>2979</v>
      </c>
      <c r="B30" s="277" t="s">
        <v>2980</v>
      </c>
      <c r="C30" s="331">
        <v>19</v>
      </c>
      <c r="D30" s="218">
        <v>0</v>
      </c>
      <c r="E30" s="218">
        <v>0</v>
      </c>
      <c r="F30" s="217" t="str">
        <f t="shared" si="0"/>
        <v>-</v>
      </c>
    </row>
    <row r="31" spans="1:6" ht="14.1" customHeight="1" x14ac:dyDescent="0.25">
      <c r="A31" s="276" t="s">
        <v>2981</v>
      </c>
      <c r="B31" s="277" t="s">
        <v>2982</v>
      </c>
      <c r="C31" s="331">
        <v>20</v>
      </c>
      <c r="D31" s="218">
        <v>0</v>
      </c>
      <c r="E31" s="218">
        <v>1323</v>
      </c>
      <c r="F31" s="217" t="str">
        <f t="shared" si="0"/>
        <v>-</v>
      </c>
    </row>
    <row r="32" spans="1:6" ht="14.1" customHeight="1" x14ac:dyDescent="0.25">
      <c r="A32" s="276" t="s">
        <v>2983</v>
      </c>
      <c r="B32" s="277" t="s">
        <v>2984</v>
      </c>
      <c r="C32" s="331">
        <v>21</v>
      </c>
      <c r="D32" s="218">
        <v>0</v>
      </c>
      <c r="E32" s="218">
        <v>0</v>
      </c>
      <c r="F32" s="217" t="str">
        <f t="shared" si="0"/>
        <v>-</v>
      </c>
    </row>
    <row r="33" spans="1:6" ht="14.1" customHeight="1" x14ac:dyDescent="0.25">
      <c r="A33" s="276" t="s">
        <v>2985</v>
      </c>
      <c r="B33" s="277" t="s">
        <v>2986</v>
      </c>
      <c r="C33" s="331">
        <v>22</v>
      </c>
      <c r="D33" s="218">
        <v>0</v>
      </c>
      <c r="E33" s="218">
        <v>0</v>
      </c>
      <c r="F33" s="217" t="str">
        <f t="shared" si="0"/>
        <v>-</v>
      </c>
    </row>
    <row r="34" spans="1:6" ht="14.1" customHeight="1" x14ac:dyDescent="0.25">
      <c r="A34" s="276" t="s">
        <v>2987</v>
      </c>
      <c r="B34" s="277" t="s">
        <v>2988</v>
      </c>
      <c r="C34" s="331">
        <v>23</v>
      </c>
      <c r="D34" s="218">
        <v>0</v>
      </c>
      <c r="E34" s="218">
        <v>0</v>
      </c>
      <c r="F34" s="217" t="str">
        <f t="shared" si="0"/>
        <v>-</v>
      </c>
    </row>
    <row r="35" spans="1:6" ht="14.1" customHeight="1" x14ac:dyDescent="0.25">
      <c r="A35" s="276" t="s">
        <v>4330</v>
      </c>
      <c r="B35" s="277" t="s">
        <v>1108</v>
      </c>
      <c r="C35" s="331">
        <v>24</v>
      </c>
      <c r="D35" s="216">
        <f>SUM(D36:D41)</f>
        <v>85000</v>
      </c>
      <c r="E35" s="216">
        <f>SUM(E36:E41)</f>
        <v>85000</v>
      </c>
      <c r="F35" s="217">
        <f t="shared" si="0"/>
        <v>100</v>
      </c>
    </row>
    <row r="36" spans="1:6" ht="14.1" customHeight="1" x14ac:dyDescent="0.25">
      <c r="A36" s="276" t="s">
        <v>2989</v>
      </c>
      <c r="B36" s="277" t="s">
        <v>2990</v>
      </c>
      <c r="C36" s="331">
        <v>25</v>
      </c>
      <c r="D36" s="218">
        <v>0</v>
      </c>
      <c r="E36" s="218">
        <v>0</v>
      </c>
      <c r="F36" s="217" t="str">
        <f t="shared" si="0"/>
        <v>-</v>
      </c>
    </row>
    <row r="37" spans="1:6" ht="14.1" customHeight="1" x14ac:dyDescent="0.25">
      <c r="A37" s="276" t="s">
        <v>2991</v>
      </c>
      <c r="B37" s="277" t="s">
        <v>2992</v>
      </c>
      <c r="C37" s="331">
        <v>26</v>
      </c>
      <c r="D37" s="218">
        <v>85000</v>
      </c>
      <c r="E37" s="218">
        <v>85000</v>
      </c>
      <c r="F37" s="217">
        <f t="shared" si="0"/>
        <v>100</v>
      </c>
    </row>
    <row r="38" spans="1:6" ht="14.1" customHeight="1" x14ac:dyDescent="0.25">
      <c r="A38" s="276" t="s">
        <v>2993</v>
      </c>
      <c r="B38" s="277" t="s">
        <v>2380</v>
      </c>
      <c r="C38" s="331">
        <v>27</v>
      </c>
      <c r="D38" s="218">
        <v>0</v>
      </c>
      <c r="E38" s="218">
        <v>0</v>
      </c>
      <c r="F38" s="217" t="str">
        <f t="shared" si="0"/>
        <v>-</v>
      </c>
    </row>
    <row r="39" spans="1:6" ht="14.1" customHeight="1" x14ac:dyDescent="0.25">
      <c r="A39" s="276" t="s">
        <v>2381</v>
      </c>
      <c r="B39" s="277" t="s">
        <v>2382</v>
      </c>
      <c r="C39" s="331">
        <v>28</v>
      </c>
      <c r="D39" s="218">
        <v>0</v>
      </c>
      <c r="E39" s="218">
        <v>0</v>
      </c>
      <c r="F39" s="217" t="str">
        <f t="shared" si="0"/>
        <v>-</v>
      </c>
    </row>
    <row r="40" spans="1:6" ht="14.1" customHeight="1" x14ac:dyDescent="0.25">
      <c r="A40" s="276" t="s">
        <v>2383</v>
      </c>
      <c r="B40" s="277" t="s">
        <v>2384</v>
      </c>
      <c r="C40" s="331">
        <v>29</v>
      </c>
      <c r="D40" s="218">
        <v>0</v>
      </c>
      <c r="E40" s="218">
        <v>0</v>
      </c>
      <c r="F40" s="217" t="str">
        <f t="shared" si="0"/>
        <v>-</v>
      </c>
    </row>
    <row r="41" spans="1:6" ht="14.1" customHeight="1" x14ac:dyDescent="0.25">
      <c r="A41" s="276" t="s">
        <v>2385</v>
      </c>
      <c r="B41" s="277" t="s">
        <v>3586</v>
      </c>
      <c r="C41" s="331">
        <v>30</v>
      </c>
      <c r="D41" s="218">
        <v>0</v>
      </c>
      <c r="E41" s="218">
        <v>0</v>
      </c>
      <c r="F41" s="217" t="str">
        <f t="shared" si="0"/>
        <v>-</v>
      </c>
    </row>
    <row r="42" spans="1:6" ht="14.1" customHeight="1" x14ac:dyDescent="0.25">
      <c r="A42" s="276" t="s">
        <v>4332</v>
      </c>
      <c r="B42" s="277" t="s">
        <v>3587</v>
      </c>
      <c r="C42" s="331">
        <v>31</v>
      </c>
      <c r="D42" s="216">
        <f>D43+D46+D50+D57+D61+D67+D68+D73+D81</f>
        <v>412698</v>
      </c>
      <c r="E42" s="216">
        <f>E43+E46+E50+E57+E61+E67+E68+E73+E81</f>
        <v>737571</v>
      </c>
      <c r="F42" s="217">
        <f t="shared" si="0"/>
        <v>178.71930564238255</v>
      </c>
    </row>
    <row r="43" spans="1:6" ht="14.1" customHeight="1" x14ac:dyDescent="0.25">
      <c r="A43" s="276" t="s">
        <v>4334</v>
      </c>
      <c r="B43" s="277" t="s">
        <v>3588</v>
      </c>
      <c r="C43" s="331">
        <v>32</v>
      </c>
      <c r="D43" s="216">
        <f>SUM(D44:D45)</f>
        <v>0</v>
      </c>
      <c r="E43" s="216">
        <f>SUM(E44:E45)</f>
        <v>0</v>
      </c>
      <c r="F43" s="217" t="str">
        <f t="shared" si="0"/>
        <v>-</v>
      </c>
    </row>
    <row r="44" spans="1:6" ht="14.1" customHeight="1" x14ac:dyDescent="0.25">
      <c r="A44" s="276" t="s">
        <v>3589</v>
      </c>
      <c r="B44" s="277" t="s">
        <v>3590</v>
      </c>
      <c r="C44" s="331">
        <v>33</v>
      </c>
      <c r="D44" s="218">
        <v>0</v>
      </c>
      <c r="E44" s="218">
        <v>0</v>
      </c>
      <c r="F44" s="217" t="str">
        <f t="shared" si="0"/>
        <v>-</v>
      </c>
    </row>
    <row r="45" spans="1:6" ht="14.1" customHeight="1" x14ac:dyDescent="0.25">
      <c r="A45" s="276" t="s">
        <v>3591</v>
      </c>
      <c r="B45" s="277" t="s">
        <v>3592</v>
      </c>
      <c r="C45" s="331">
        <v>34</v>
      </c>
      <c r="D45" s="218">
        <v>0</v>
      </c>
      <c r="E45" s="218">
        <v>0</v>
      </c>
      <c r="F45" s="217" t="str">
        <f t="shared" si="0"/>
        <v>-</v>
      </c>
    </row>
    <row r="46" spans="1:6" ht="14.1" customHeight="1" x14ac:dyDescent="0.25">
      <c r="A46" s="276" t="s">
        <v>4336</v>
      </c>
      <c r="B46" s="277" t="s">
        <v>2838</v>
      </c>
      <c r="C46" s="331">
        <v>35</v>
      </c>
      <c r="D46" s="216">
        <f>SUM(D47:D49)</f>
        <v>212638</v>
      </c>
      <c r="E46" s="216">
        <f>SUM(E47:E49)</f>
        <v>199622</v>
      </c>
      <c r="F46" s="217">
        <f t="shared" si="0"/>
        <v>93.878798709543915</v>
      </c>
    </row>
    <row r="47" spans="1:6" ht="14.1" customHeight="1" x14ac:dyDescent="0.25">
      <c r="A47" s="276" t="s">
        <v>3593</v>
      </c>
      <c r="B47" s="277" t="s">
        <v>3594</v>
      </c>
      <c r="C47" s="331">
        <v>36</v>
      </c>
      <c r="D47" s="218">
        <v>212638</v>
      </c>
      <c r="E47" s="218">
        <v>199622</v>
      </c>
      <c r="F47" s="217">
        <f t="shared" si="0"/>
        <v>93.878798709543915</v>
      </c>
    </row>
    <row r="48" spans="1:6" ht="14.1" customHeight="1" x14ac:dyDescent="0.25">
      <c r="A48" s="276" t="s">
        <v>3595</v>
      </c>
      <c r="B48" s="277" t="s">
        <v>3596</v>
      </c>
      <c r="C48" s="331">
        <v>37</v>
      </c>
      <c r="D48" s="218">
        <v>0</v>
      </c>
      <c r="E48" s="218">
        <v>0</v>
      </c>
      <c r="F48" s="217" t="str">
        <f t="shared" si="0"/>
        <v>-</v>
      </c>
    </row>
    <row r="49" spans="1:6" ht="14.1" customHeight="1" x14ac:dyDescent="0.25">
      <c r="A49" s="276" t="s">
        <v>3597</v>
      </c>
      <c r="B49" s="277" t="s">
        <v>3598</v>
      </c>
      <c r="C49" s="331">
        <v>38</v>
      </c>
      <c r="D49" s="218">
        <v>0</v>
      </c>
      <c r="E49" s="218">
        <v>0</v>
      </c>
      <c r="F49" s="217" t="str">
        <f t="shared" si="0"/>
        <v>-</v>
      </c>
    </row>
    <row r="50" spans="1:6" ht="14.1" customHeight="1" x14ac:dyDescent="0.25">
      <c r="A50" s="276" t="s">
        <v>3599</v>
      </c>
      <c r="B50" s="277" t="s">
        <v>2837</v>
      </c>
      <c r="C50" s="331">
        <v>39</v>
      </c>
      <c r="D50" s="216">
        <f>SUM(D51:D56)</f>
        <v>0</v>
      </c>
      <c r="E50" s="216">
        <f>SUM(E51:E56)</f>
        <v>0</v>
      </c>
      <c r="F50" s="217" t="str">
        <f t="shared" si="0"/>
        <v>-</v>
      </c>
    </row>
    <row r="51" spans="1:6" ht="14.1" customHeight="1" x14ac:dyDescent="0.25">
      <c r="A51" s="276" t="s">
        <v>3600</v>
      </c>
      <c r="B51" s="277" t="s">
        <v>3601</v>
      </c>
      <c r="C51" s="331">
        <v>40</v>
      </c>
      <c r="D51" s="218">
        <v>0</v>
      </c>
      <c r="E51" s="218">
        <v>0</v>
      </c>
      <c r="F51" s="217" t="str">
        <f t="shared" si="0"/>
        <v>-</v>
      </c>
    </row>
    <row r="52" spans="1:6" ht="14.1" customHeight="1" x14ac:dyDescent="0.25">
      <c r="A52" s="276" t="s">
        <v>3602</v>
      </c>
      <c r="B52" s="277" t="s">
        <v>3603</v>
      </c>
      <c r="C52" s="331">
        <v>41</v>
      </c>
      <c r="D52" s="218">
        <v>0</v>
      </c>
      <c r="E52" s="218">
        <v>0</v>
      </c>
      <c r="F52" s="217" t="str">
        <f t="shared" si="0"/>
        <v>-</v>
      </c>
    </row>
    <row r="53" spans="1:6" ht="14.1" customHeight="1" x14ac:dyDescent="0.25">
      <c r="A53" s="276" t="s">
        <v>3604</v>
      </c>
      <c r="B53" s="277" t="s">
        <v>3605</v>
      </c>
      <c r="C53" s="331">
        <v>42</v>
      </c>
      <c r="D53" s="218">
        <v>0</v>
      </c>
      <c r="E53" s="218">
        <v>0</v>
      </c>
      <c r="F53" s="217" t="str">
        <f t="shared" si="0"/>
        <v>-</v>
      </c>
    </row>
    <row r="54" spans="1:6" ht="14.1" customHeight="1" x14ac:dyDescent="0.25">
      <c r="A54" s="276" t="s">
        <v>3606</v>
      </c>
      <c r="B54" s="277" t="s">
        <v>3607</v>
      </c>
      <c r="C54" s="331">
        <v>43</v>
      </c>
      <c r="D54" s="218">
        <v>0</v>
      </c>
      <c r="E54" s="218">
        <v>0</v>
      </c>
      <c r="F54" s="217" t="str">
        <f t="shared" si="0"/>
        <v>-</v>
      </c>
    </row>
    <row r="55" spans="1:6" ht="14.1" customHeight="1" x14ac:dyDescent="0.25">
      <c r="A55" s="276" t="s">
        <v>3608</v>
      </c>
      <c r="B55" s="277" t="s">
        <v>3609</v>
      </c>
      <c r="C55" s="331">
        <v>44</v>
      </c>
      <c r="D55" s="218">
        <v>0</v>
      </c>
      <c r="E55" s="218">
        <v>0</v>
      </c>
      <c r="F55" s="217" t="str">
        <f t="shared" si="0"/>
        <v>-</v>
      </c>
    </row>
    <row r="56" spans="1:6" ht="14.1" customHeight="1" x14ac:dyDescent="0.25">
      <c r="A56" s="276" t="s">
        <v>3610</v>
      </c>
      <c r="B56" s="277" t="s">
        <v>2818</v>
      </c>
      <c r="C56" s="331">
        <v>45</v>
      </c>
      <c r="D56" s="218">
        <v>0</v>
      </c>
      <c r="E56" s="218">
        <v>0</v>
      </c>
      <c r="F56" s="217" t="str">
        <f t="shared" si="0"/>
        <v>-</v>
      </c>
    </row>
    <row r="57" spans="1:6" ht="14.1" customHeight="1" x14ac:dyDescent="0.25">
      <c r="A57" s="276" t="s">
        <v>2819</v>
      </c>
      <c r="B57" s="277" t="s">
        <v>2836</v>
      </c>
      <c r="C57" s="331">
        <v>46</v>
      </c>
      <c r="D57" s="216">
        <f>SUM(D58:D60)</f>
        <v>0</v>
      </c>
      <c r="E57" s="216">
        <f>SUM(E58:E60)</f>
        <v>0</v>
      </c>
      <c r="F57" s="217" t="str">
        <f t="shared" si="0"/>
        <v>-</v>
      </c>
    </row>
    <row r="58" spans="1:6" ht="14.1" customHeight="1" x14ac:dyDescent="0.25">
      <c r="A58" s="276" t="s">
        <v>2820</v>
      </c>
      <c r="B58" s="277" t="s">
        <v>809</v>
      </c>
      <c r="C58" s="331">
        <v>47</v>
      </c>
      <c r="D58" s="218">
        <v>0</v>
      </c>
      <c r="E58" s="218">
        <v>0</v>
      </c>
      <c r="F58" s="217" t="str">
        <f t="shared" si="0"/>
        <v>-</v>
      </c>
    </row>
    <row r="59" spans="1:6" ht="14.1" customHeight="1" x14ac:dyDescent="0.25">
      <c r="A59" s="276" t="s">
        <v>810</v>
      </c>
      <c r="B59" s="277" t="s">
        <v>811</v>
      </c>
      <c r="C59" s="331">
        <v>48</v>
      </c>
      <c r="D59" s="218">
        <v>0</v>
      </c>
      <c r="E59" s="218">
        <v>0</v>
      </c>
      <c r="F59" s="217" t="str">
        <f t="shared" si="0"/>
        <v>-</v>
      </c>
    </row>
    <row r="60" spans="1:6" ht="14.1" customHeight="1" x14ac:dyDescent="0.25">
      <c r="A60" s="276" t="s">
        <v>812</v>
      </c>
      <c r="B60" s="277" t="s">
        <v>813</v>
      </c>
      <c r="C60" s="331">
        <v>49</v>
      </c>
      <c r="D60" s="218">
        <v>0</v>
      </c>
      <c r="E60" s="218">
        <v>0</v>
      </c>
      <c r="F60" s="217" t="str">
        <f t="shared" si="0"/>
        <v>-</v>
      </c>
    </row>
    <row r="61" spans="1:6" ht="14.1" customHeight="1" x14ac:dyDescent="0.25">
      <c r="A61" s="276" t="s">
        <v>814</v>
      </c>
      <c r="B61" s="277" t="s">
        <v>4160</v>
      </c>
      <c r="C61" s="331">
        <v>50</v>
      </c>
      <c r="D61" s="216">
        <f>SUM(D62:D66)</f>
        <v>200060</v>
      </c>
      <c r="E61" s="216">
        <f>SUM(E62:E66)</f>
        <v>537949</v>
      </c>
      <c r="F61" s="217">
        <f t="shared" si="0"/>
        <v>268.89383185044488</v>
      </c>
    </row>
    <row r="62" spans="1:6" ht="14.1" customHeight="1" x14ac:dyDescent="0.25">
      <c r="A62" s="276" t="s">
        <v>815</v>
      </c>
      <c r="B62" s="277" t="s">
        <v>816</v>
      </c>
      <c r="C62" s="331">
        <v>51</v>
      </c>
      <c r="D62" s="218">
        <v>200060</v>
      </c>
      <c r="E62" s="218">
        <v>537949</v>
      </c>
      <c r="F62" s="217">
        <f t="shared" si="0"/>
        <v>268.89383185044488</v>
      </c>
    </row>
    <row r="63" spans="1:6" ht="14.1" customHeight="1" x14ac:dyDescent="0.25">
      <c r="A63" s="276" t="s">
        <v>817</v>
      </c>
      <c r="B63" s="277" t="s">
        <v>3575</v>
      </c>
      <c r="C63" s="331">
        <v>52</v>
      </c>
      <c r="D63" s="218">
        <v>0</v>
      </c>
      <c r="E63" s="218">
        <v>0</v>
      </c>
      <c r="F63" s="217" t="str">
        <f t="shared" si="0"/>
        <v>-</v>
      </c>
    </row>
    <row r="64" spans="1:6" ht="14.1" customHeight="1" x14ac:dyDescent="0.25">
      <c r="A64" s="276" t="s">
        <v>818</v>
      </c>
      <c r="B64" s="277" t="s">
        <v>819</v>
      </c>
      <c r="C64" s="331">
        <v>53</v>
      </c>
      <c r="D64" s="218">
        <v>0</v>
      </c>
      <c r="E64" s="218">
        <v>0</v>
      </c>
      <c r="F64" s="217" t="str">
        <f t="shared" si="0"/>
        <v>-</v>
      </c>
    </row>
    <row r="65" spans="1:6" ht="14.1" customHeight="1" x14ac:dyDescent="0.25">
      <c r="A65" s="276" t="s">
        <v>820</v>
      </c>
      <c r="B65" s="277" t="s">
        <v>821</v>
      </c>
      <c r="C65" s="331">
        <v>54</v>
      </c>
      <c r="D65" s="218">
        <v>0</v>
      </c>
      <c r="E65" s="218">
        <v>0</v>
      </c>
      <c r="F65" s="217" t="str">
        <f t="shared" si="0"/>
        <v>-</v>
      </c>
    </row>
    <row r="66" spans="1:6" ht="14.1" customHeight="1" x14ac:dyDescent="0.25">
      <c r="A66" s="276" t="s">
        <v>822</v>
      </c>
      <c r="B66" s="277" t="s">
        <v>823</v>
      </c>
      <c r="C66" s="331">
        <v>55</v>
      </c>
      <c r="D66" s="218">
        <v>0</v>
      </c>
      <c r="E66" s="218">
        <v>0</v>
      </c>
      <c r="F66" s="217" t="str">
        <f t="shared" si="0"/>
        <v>-</v>
      </c>
    </row>
    <row r="67" spans="1:6" ht="14.1" customHeight="1" x14ac:dyDescent="0.25">
      <c r="A67" s="276" t="s">
        <v>824</v>
      </c>
      <c r="B67" s="277" t="s">
        <v>825</v>
      </c>
      <c r="C67" s="331">
        <v>56</v>
      </c>
      <c r="D67" s="218">
        <v>0</v>
      </c>
      <c r="E67" s="218">
        <v>0</v>
      </c>
      <c r="F67" s="217" t="str">
        <f t="shared" si="0"/>
        <v>-</v>
      </c>
    </row>
    <row r="68" spans="1:6" ht="14.1" customHeight="1" x14ac:dyDescent="0.25">
      <c r="A68" s="276" t="s">
        <v>826</v>
      </c>
      <c r="B68" s="277" t="s">
        <v>4159</v>
      </c>
      <c r="C68" s="331">
        <v>57</v>
      </c>
      <c r="D68" s="216">
        <f>SUM(D69:D72)</f>
        <v>0</v>
      </c>
      <c r="E68" s="216">
        <f>SUM(E69:E72)</f>
        <v>0</v>
      </c>
      <c r="F68" s="217" t="str">
        <f t="shared" si="0"/>
        <v>-</v>
      </c>
    </row>
    <row r="69" spans="1:6" ht="14.1" customHeight="1" x14ac:dyDescent="0.25">
      <c r="A69" s="276" t="s">
        <v>827</v>
      </c>
      <c r="B69" s="277" t="s">
        <v>828</v>
      </c>
      <c r="C69" s="331">
        <v>58</v>
      </c>
      <c r="D69" s="218">
        <v>0</v>
      </c>
      <c r="E69" s="218">
        <v>0</v>
      </c>
      <c r="F69" s="217" t="str">
        <f t="shared" si="0"/>
        <v>-</v>
      </c>
    </row>
    <row r="70" spans="1:6" ht="14.1" customHeight="1" x14ac:dyDescent="0.25">
      <c r="A70" s="276" t="s">
        <v>829</v>
      </c>
      <c r="B70" s="277" t="s">
        <v>830</v>
      </c>
      <c r="C70" s="331">
        <v>59</v>
      </c>
      <c r="D70" s="218">
        <v>0</v>
      </c>
      <c r="E70" s="218">
        <v>0</v>
      </c>
      <c r="F70" s="217" t="str">
        <f t="shared" si="0"/>
        <v>-</v>
      </c>
    </row>
    <row r="71" spans="1:6" ht="14.1" customHeight="1" x14ac:dyDescent="0.25">
      <c r="A71" s="276" t="s">
        <v>831</v>
      </c>
      <c r="B71" s="277" t="s">
        <v>832</v>
      </c>
      <c r="C71" s="331">
        <v>60</v>
      </c>
      <c r="D71" s="218">
        <v>0</v>
      </c>
      <c r="E71" s="218">
        <v>0</v>
      </c>
      <c r="F71" s="217" t="str">
        <f t="shared" si="0"/>
        <v>-</v>
      </c>
    </row>
    <row r="72" spans="1:6" ht="14.1" customHeight="1" x14ac:dyDescent="0.25">
      <c r="A72" s="276" t="s">
        <v>833</v>
      </c>
      <c r="B72" s="277" t="s">
        <v>834</v>
      </c>
      <c r="C72" s="331">
        <v>61</v>
      </c>
      <c r="D72" s="218">
        <v>0</v>
      </c>
      <c r="E72" s="218">
        <v>0</v>
      </c>
      <c r="F72" s="217" t="str">
        <f t="shared" si="0"/>
        <v>-</v>
      </c>
    </row>
    <row r="73" spans="1:6" ht="14.1" customHeight="1" x14ac:dyDescent="0.25">
      <c r="A73" s="276" t="s">
        <v>835</v>
      </c>
      <c r="B73" s="277" t="s">
        <v>836</v>
      </c>
      <c r="C73" s="331">
        <v>62</v>
      </c>
      <c r="D73" s="216">
        <f>SUM(D74:D80)</f>
        <v>0</v>
      </c>
      <c r="E73" s="216">
        <f>SUM(E74:E80)</f>
        <v>0</v>
      </c>
      <c r="F73" s="217" t="str">
        <f t="shared" si="0"/>
        <v>-</v>
      </c>
    </row>
    <row r="74" spans="1:6" ht="14.1" customHeight="1" x14ac:dyDescent="0.25">
      <c r="A74" s="276" t="s">
        <v>837</v>
      </c>
      <c r="B74" s="277" t="s">
        <v>1222</v>
      </c>
      <c r="C74" s="331">
        <v>63</v>
      </c>
      <c r="D74" s="218">
        <v>0</v>
      </c>
      <c r="E74" s="218">
        <v>0</v>
      </c>
      <c r="F74" s="217" t="str">
        <f t="shared" si="0"/>
        <v>-</v>
      </c>
    </row>
    <row r="75" spans="1:6" ht="14.1" customHeight="1" x14ac:dyDescent="0.25">
      <c r="A75" s="276" t="s">
        <v>1223</v>
      </c>
      <c r="B75" s="277" t="s">
        <v>1224</v>
      </c>
      <c r="C75" s="331">
        <v>64</v>
      </c>
      <c r="D75" s="218">
        <v>0</v>
      </c>
      <c r="E75" s="218">
        <v>0</v>
      </c>
      <c r="F75" s="217" t="str">
        <f t="shared" si="0"/>
        <v>-</v>
      </c>
    </row>
    <row r="76" spans="1:6" ht="14.1" customHeight="1" x14ac:dyDescent="0.25">
      <c r="A76" s="276" t="s">
        <v>1225</v>
      </c>
      <c r="B76" s="277" t="s">
        <v>1226</v>
      </c>
      <c r="C76" s="331">
        <v>65</v>
      </c>
      <c r="D76" s="218">
        <v>0</v>
      </c>
      <c r="E76" s="218">
        <v>0</v>
      </c>
      <c r="F76" s="217" t="str">
        <f t="shared" si="0"/>
        <v>-</v>
      </c>
    </row>
    <row r="77" spans="1:6" ht="14.1" customHeight="1" x14ac:dyDescent="0.25">
      <c r="A77" s="276" t="s">
        <v>1227</v>
      </c>
      <c r="B77" s="277" t="s">
        <v>1228</v>
      </c>
      <c r="C77" s="331">
        <v>66</v>
      </c>
      <c r="D77" s="218">
        <v>0</v>
      </c>
      <c r="E77" s="218">
        <v>0</v>
      </c>
      <c r="F77" s="217" t="str">
        <f t="shared" si="0"/>
        <v>-</v>
      </c>
    </row>
    <row r="78" spans="1:6" ht="14.1" customHeight="1" x14ac:dyDescent="0.25">
      <c r="A78" s="276" t="s">
        <v>1229</v>
      </c>
      <c r="B78" s="277" t="s">
        <v>1230</v>
      </c>
      <c r="C78" s="331">
        <v>67</v>
      </c>
      <c r="D78" s="218">
        <v>0</v>
      </c>
      <c r="E78" s="218">
        <v>0</v>
      </c>
      <c r="F78" s="217" t="str">
        <f t="shared" ref="F78:F140" si="1">IF(D78&gt;0,IF(E78/D78&gt;=100,"&gt;&gt;100",E78/D78*100),"-")</f>
        <v>-</v>
      </c>
    </row>
    <row r="79" spans="1:6" ht="14.1" customHeight="1" x14ac:dyDescent="0.25">
      <c r="A79" s="276" t="s">
        <v>1231</v>
      </c>
      <c r="B79" s="277" t="s">
        <v>1232</v>
      </c>
      <c r="C79" s="331">
        <v>68</v>
      </c>
      <c r="D79" s="218">
        <v>0</v>
      </c>
      <c r="E79" s="218">
        <v>0</v>
      </c>
      <c r="F79" s="217" t="str">
        <f t="shared" si="1"/>
        <v>-</v>
      </c>
    </row>
    <row r="80" spans="1:6" ht="14.1" customHeight="1" x14ac:dyDescent="0.25">
      <c r="A80" s="276" t="s">
        <v>1233</v>
      </c>
      <c r="B80" s="277" t="s">
        <v>1117</v>
      </c>
      <c r="C80" s="331">
        <v>69</v>
      </c>
      <c r="D80" s="218">
        <v>0</v>
      </c>
      <c r="E80" s="218">
        <v>0</v>
      </c>
      <c r="F80" s="217" t="str">
        <f t="shared" si="1"/>
        <v>-</v>
      </c>
    </row>
    <row r="81" spans="1:6" ht="14.1" customHeight="1" x14ac:dyDescent="0.25">
      <c r="A81" s="276" t="s">
        <v>4337</v>
      </c>
      <c r="B81" s="277" t="s">
        <v>1118</v>
      </c>
      <c r="C81" s="331">
        <v>70</v>
      </c>
      <c r="D81" s="218">
        <v>0</v>
      </c>
      <c r="E81" s="218">
        <v>0</v>
      </c>
      <c r="F81" s="217" t="str">
        <f t="shared" si="1"/>
        <v>-</v>
      </c>
    </row>
    <row r="82" spans="1:6" ht="14.1" customHeight="1" x14ac:dyDescent="0.25">
      <c r="A82" s="276" t="s">
        <v>1287</v>
      </c>
      <c r="B82" s="277" t="s">
        <v>4158</v>
      </c>
      <c r="C82" s="331">
        <v>71</v>
      </c>
      <c r="D82" s="216">
        <f>SUM(D83:D88)</f>
        <v>0</v>
      </c>
      <c r="E82" s="216">
        <f>SUM(E83:E88)</f>
        <v>0</v>
      </c>
      <c r="F82" s="217" t="str">
        <f t="shared" si="1"/>
        <v>-</v>
      </c>
    </row>
    <row r="83" spans="1:6" ht="14.1" customHeight="1" x14ac:dyDescent="0.25">
      <c r="A83" s="276" t="s">
        <v>1288</v>
      </c>
      <c r="B83" s="277" t="s">
        <v>1119</v>
      </c>
      <c r="C83" s="331">
        <v>72</v>
      </c>
      <c r="D83" s="218">
        <v>0</v>
      </c>
      <c r="E83" s="218">
        <v>0</v>
      </c>
      <c r="F83" s="217" t="str">
        <f t="shared" si="1"/>
        <v>-</v>
      </c>
    </row>
    <row r="84" spans="1:6" ht="14.1" customHeight="1" x14ac:dyDescent="0.25">
      <c r="A84" s="276" t="s">
        <v>1290</v>
      </c>
      <c r="B84" s="277" t="s">
        <v>1120</v>
      </c>
      <c r="C84" s="331">
        <v>73</v>
      </c>
      <c r="D84" s="218">
        <v>0</v>
      </c>
      <c r="E84" s="218">
        <v>0</v>
      </c>
      <c r="F84" s="217" t="str">
        <f t="shared" si="1"/>
        <v>-</v>
      </c>
    </row>
    <row r="85" spans="1:6" ht="14.1" customHeight="1" x14ac:dyDescent="0.25">
      <c r="A85" s="276" t="s">
        <v>1292</v>
      </c>
      <c r="B85" s="277" t="s">
        <v>1121</v>
      </c>
      <c r="C85" s="331">
        <v>74</v>
      </c>
      <c r="D85" s="218">
        <v>0</v>
      </c>
      <c r="E85" s="218">
        <v>0</v>
      </c>
      <c r="F85" s="217" t="str">
        <f t="shared" si="1"/>
        <v>-</v>
      </c>
    </row>
    <row r="86" spans="1:6" ht="14.1" customHeight="1" x14ac:dyDescent="0.25">
      <c r="A86" s="276" t="s">
        <v>1294</v>
      </c>
      <c r="B86" s="277" t="s">
        <v>1122</v>
      </c>
      <c r="C86" s="331">
        <v>75</v>
      </c>
      <c r="D86" s="218">
        <v>0</v>
      </c>
      <c r="E86" s="218">
        <v>0</v>
      </c>
      <c r="F86" s="217" t="str">
        <f t="shared" si="1"/>
        <v>-</v>
      </c>
    </row>
    <row r="87" spans="1:6" ht="14.1" customHeight="1" x14ac:dyDescent="0.25">
      <c r="A87" s="276" t="s">
        <v>1296</v>
      </c>
      <c r="B87" s="277" t="s">
        <v>1507</v>
      </c>
      <c r="C87" s="331">
        <v>76</v>
      </c>
      <c r="D87" s="218">
        <v>0</v>
      </c>
      <c r="E87" s="218">
        <v>0</v>
      </c>
      <c r="F87" s="217" t="str">
        <f t="shared" si="1"/>
        <v>-</v>
      </c>
    </row>
    <row r="88" spans="1:6" ht="14.1" customHeight="1" x14ac:dyDescent="0.25">
      <c r="A88" s="276" t="s">
        <v>1298</v>
      </c>
      <c r="B88" s="277" t="s">
        <v>1508</v>
      </c>
      <c r="C88" s="331">
        <v>77</v>
      </c>
      <c r="D88" s="218">
        <v>0</v>
      </c>
      <c r="E88" s="218">
        <v>0</v>
      </c>
      <c r="F88" s="217" t="str">
        <f t="shared" si="1"/>
        <v>-</v>
      </c>
    </row>
    <row r="89" spans="1:6" ht="14.1" customHeight="1" x14ac:dyDescent="0.25">
      <c r="A89" s="276" t="s">
        <v>1299</v>
      </c>
      <c r="B89" s="277" t="s">
        <v>4157</v>
      </c>
      <c r="C89" s="331">
        <v>78</v>
      </c>
      <c r="D89" s="216">
        <f>SUM(D90:D95)</f>
        <v>674881</v>
      </c>
      <c r="E89" s="216">
        <f>SUM(E90:E95)</f>
        <v>1084559</v>
      </c>
      <c r="F89" s="217">
        <f t="shared" si="1"/>
        <v>160.70373888137317</v>
      </c>
    </row>
    <row r="90" spans="1:6" ht="14.1" customHeight="1" x14ac:dyDescent="0.25">
      <c r="A90" s="276" t="s">
        <v>1300</v>
      </c>
      <c r="B90" s="277" t="s">
        <v>1509</v>
      </c>
      <c r="C90" s="331">
        <v>79</v>
      </c>
      <c r="D90" s="218">
        <v>0</v>
      </c>
      <c r="E90" s="218">
        <v>0</v>
      </c>
      <c r="F90" s="217" t="str">
        <f t="shared" si="1"/>
        <v>-</v>
      </c>
    </row>
    <row r="91" spans="1:6" ht="14.1" customHeight="1" x14ac:dyDescent="0.25">
      <c r="A91" s="276" t="s">
        <v>1302</v>
      </c>
      <c r="B91" s="277" t="s">
        <v>1510</v>
      </c>
      <c r="C91" s="331">
        <v>80</v>
      </c>
      <c r="D91" s="218">
        <v>0</v>
      </c>
      <c r="E91" s="218">
        <v>0</v>
      </c>
      <c r="F91" s="217" t="str">
        <f t="shared" si="1"/>
        <v>-</v>
      </c>
    </row>
    <row r="92" spans="1:6" ht="14.1" customHeight="1" x14ac:dyDescent="0.25">
      <c r="A92" s="276" t="s">
        <v>1511</v>
      </c>
      <c r="B92" s="277" t="s">
        <v>1512</v>
      </c>
      <c r="C92" s="331">
        <v>81</v>
      </c>
      <c r="D92" s="218">
        <v>300129</v>
      </c>
      <c r="E92" s="218">
        <v>783673</v>
      </c>
      <c r="F92" s="217">
        <f t="shared" si="1"/>
        <v>261.11205514961904</v>
      </c>
    </row>
    <row r="93" spans="1:6" ht="14.1" customHeight="1" x14ac:dyDescent="0.25">
      <c r="A93" s="276" t="s">
        <v>1304</v>
      </c>
      <c r="B93" s="277" t="s">
        <v>1513</v>
      </c>
      <c r="C93" s="331">
        <v>82</v>
      </c>
      <c r="D93" s="218">
        <v>270075</v>
      </c>
      <c r="E93" s="218">
        <v>215254</v>
      </c>
      <c r="F93" s="217">
        <f t="shared" si="1"/>
        <v>79.701564380264742</v>
      </c>
    </row>
    <row r="94" spans="1:6" ht="14.1" customHeight="1" x14ac:dyDescent="0.25">
      <c r="A94" s="276" t="s">
        <v>1514</v>
      </c>
      <c r="B94" s="277" t="s">
        <v>1515</v>
      </c>
      <c r="C94" s="331">
        <v>83</v>
      </c>
      <c r="D94" s="218">
        <v>0</v>
      </c>
      <c r="E94" s="218">
        <v>0</v>
      </c>
      <c r="F94" s="217" t="str">
        <f t="shared" si="1"/>
        <v>-</v>
      </c>
    </row>
    <row r="95" spans="1:6" ht="14.1" customHeight="1" x14ac:dyDescent="0.25">
      <c r="A95" s="276" t="s">
        <v>1516</v>
      </c>
      <c r="B95" s="277" t="s">
        <v>570</v>
      </c>
      <c r="C95" s="331">
        <v>84</v>
      </c>
      <c r="D95" s="218">
        <v>104677</v>
      </c>
      <c r="E95" s="218">
        <v>85632</v>
      </c>
      <c r="F95" s="217">
        <f t="shared" si="1"/>
        <v>81.805936356601734</v>
      </c>
    </row>
    <row r="96" spans="1:6" ht="14.1" customHeight="1" x14ac:dyDescent="0.25">
      <c r="A96" s="276" t="s">
        <v>571</v>
      </c>
      <c r="B96" s="277" t="s">
        <v>961</v>
      </c>
      <c r="C96" s="331">
        <v>85</v>
      </c>
      <c r="D96" s="216">
        <f>D97+D101+D106+D111+D112+D113</f>
        <v>74384</v>
      </c>
      <c r="E96" s="216">
        <f>E97+E101+E106+E111+E112+E113</f>
        <v>31028</v>
      </c>
      <c r="F96" s="217">
        <f t="shared" si="1"/>
        <v>41.713271671327171</v>
      </c>
    </row>
    <row r="97" spans="1:6" ht="14.1" customHeight="1" x14ac:dyDescent="0.25">
      <c r="A97" s="276" t="s">
        <v>572</v>
      </c>
      <c r="B97" s="277" t="s">
        <v>4376</v>
      </c>
      <c r="C97" s="331">
        <v>86</v>
      </c>
      <c r="D97" s="216">
        <f>SUM(D98:D100)</f>
        <v>0</v>
      </c>
      <c r="E97" s="216">
        <f>SUM(E98:E100)</f>
        <v>0</v>
      </c>
      <c r="F97" s="217" t="str">
        <f t="shared" si="1"/>
        <v>-</v>
      </c>
    </row>
    <row r="98" spans="1:6" ht="14.1" customHeight="1" x14ac:dyDescent="0.25">
      <c r="A98" s="276" t="s">
        <v>573</v>
      </c>
      <c r="B98" s="277" t="s">
        <v>4022</v>
      </c>
      <c r="C98" s="331">
        <v>87</v>
      </c>
      <c r="D98" s="218">
        <v>0</v>
      </c>
      <c r="E98" s="218">
        <v>0</v>
      </c>
      <c r="F98" s="217" t="str">
        <f t="shared" si="1"/>
        <v>-</v>
      </c>
    </row>
    <row r="99" spans="1:6" ht="14.1" customHeight="1" x14ac:dyDescent="0.25">
      <c r="A99" s="276" t="s">
        <v>4023</v>
      </c>
      <c r="B99" s="277" t="s">
        <v>4024</v>
      </c>
      <c r="C99" s="331">
        <v>88</v>
      </c>
      <c r="D99" s="218">
        <v>0</v>
      </c>
      <c r="E99" s="218">
        <v>0</v>
      </c>
      <c r="F99" s="217" t="str">
        <f t="shared" si="1"/>
        <v>-</v>
      </c>
    </row>
    <row r="100" spans="1:6" ht="14.1" customHeight="1" x14ac:dyDescent="0.25">
      <c r="A100" s="276" t="s">
        <v>4025</v>
      </c>
      <c r="B100" s="277" t="s">
        <v>4026</v>
      </c>
      <c r="C100" s="331">
        <v>89</v>
      </c>
      <c r="D100" s="218">
        <v>0</v>
      </c>
      <c r="E100" s="218">
        <v>0</v>
      </c>
      <c r="F100" s="217" t="str">
        <f t="shared" si="1"/>
        <v>-</v>
      </c>
    </row>
    <row r="101" spans="1:6" ht="14.1" customHeight="1" x14ac:dyDescent="0.25">
      <c r="A101" s="276" t="s">
        <v>4027</v>
      </c>
      <c r="B101" s="277" t="s">
        <v>4377</v>
      </c>
      <c r="C101" s="331">
        <v>90</v>
      </c>
      <c r="D101" s="216">
        <f>SUM(D102:D105)</f>
        <v>0</v>
      </c>
      <c r="E101" s="216">
        <f>SUM(E102:E105)</f>
        <v>0</v>
      </c>
      <c r="F101" s="217" t="str">
        <f t="shared" si="1"/>
        <v>-</v>
      </c>
    </row>
    <row r="102" spans="1:6" ht="14.1" customHeight="1" x14ac:dyDescent="0.25">
      <c r="A102" s="276" t="s">
        <v>4028</v>
      </c>
      <c r="B102" s="277" t="s">
        <v>4029</v>
      </c>
      <c r="C102" s="331">
        <v>91</v>
      </c>
      <c r="D102" s="218">
        <v>0</v>
      </c>
      <c r="E102" s="218">
        <v>0</v>
      </c>
      <c r="F102" s="217" t="str">
        <f t="shared" si="1"/>
        <v>-</v>
      </c>
    </row>
    <row r="103" spans="1:6" ht="14.1" customHeight="1" x14ac:dyDescent="0.25">
      <c r="A103" s="276" t="s">
        <v>4030</v>
      </c>
      <c r="B103" s="277" t="s">
        <v>4031</v>
      </c>
      <c r="C103" s="331">
        <v>92</v>
      </c>
      <c r="D103" s="218">
        <v>0</v>
      </c>
      <c r="E103" s="218">
        <v>0</v>
      </c>
      <c r="F103" s="217" t="str">
        <f t="shared" si="1"/>
        <v>-</v>
      </c>
    </row>
    <row r="104" spans="1:6" ht="14.1" customHeight="1" x14ac:dyDescent="0.25">
      <c r="A104" s="276" t="s">
        <v>4032</v>
      </c>
      <c r="B104" s="277" t="s">
        <v>4033</v>
      </c>
      <c r="C104" s="331">
        <v>93</v>
      </c>
      <c r="D104" s="218">
        <v>0</v>
      </c>
      <c r="E104" s="218">
        <v>0</v>
      </c>
      <c r="F104" s="217" t="str">
        <f t="shared" si="1"/>
        <v>-</v>
      </c>
    </row>
    <row r="105" spans="1:6" ht="14.1" customHeight="1" x14ac:dyDescent="0.25">
      <c r="A105" s="276" t="s">
        <v>4034</v>
      </c>
      <c r="B105" s="277" t="s">
        <v>4035</v>
      </c>
      <c r="C105" s="331">
        <v>94</v>
      </c>
      <c r="D105" s="218">
        <v>0</v>
      </c>
      <c r="E105" s="218">
        <v>0</v>
      </c>
      <c r="F105" s="217" t="str">
        <f t="shared" si="1"/>
        <v>-</v>
      </c>
    </row>
    <row r="106" spans="1:6" ht="14.1" customHeight="1" x14ac:dyDescent="0.25">
      <c r="A106" s="276" t="s">
        <v>4036</v>
      </c>
      <c r="B106" s="277" t="s">
        <v>4378</v>
      </c>
      <c r="C106" s="331">
        <v>95</v>
      </c>
      <c r="D106" s="216">
        <f>SUM(D107:D110)</f>
        <v>0</v>
      </c>
      <c r="E106" s="216">
        <f>SUM(E107:E110)</f>
        <v>0</v>
      </c>
      <c r="F106" s="217" t="str">
        <f t="shared" si="1"/>
        <v>-</v>
      </c>
    </row>
    <row r="107" spans="1:6" ht="14.1" customHeight="1" x14ac:dyDescent="0.25">
      <c r="A107" s="276" t="s">
        <v>4037</v>
      </c>
      <c r="B107" s="277" t="s">
        <v>4038</v>
      </c>
      <c r="C107" s="331">
        <v>96</v>
      </c>
      <c r="D107" s="218">
        <v>0</v>
      </c>
      <c r="E107" s="218">
        <v>0</v>
      </c>
      <c r="F107" s="217" t="str">
        <f t="shared" si="1"/>
        <v>-</v>
      </c>
    </row>
    <row r="108" spans="1:6" ht="14.1" customHeight="1" x14ac:dyDescent="0.25">
      <c r="A108" s="276" t="s">
        <v>4039</v>
      </c>
      <c r="B108" s="277" t="s">
        <v>4040</v>
      </c>
      <c r="C108" s="331">
        <v>97</v>
      </c>
      <c r="D108" s="218">
        <v>0</v>
      </c>
      <c r="E108" s="218">
        <v>0</v>
      </c>
      <c r="F108" s="217" t="str">
        <f t="shared" si="1"/>
        <v>-</v>
      </c>
    </row>
    <row r="109" spans="1:6" ht="14.1" customHeight="1" x14ac:dyDescent="0.25">
      <c r="A109" s="276" t="s">
        <v>4041</v>
      </c>
      <c r="B109" s="277" t="s">
        <v>2080</v>
      </c>
      <c r="C109" s="331">
        <v>98</v>
      </c>
      <c r="D109" s="218">
        <v>0</v>
      </c>
      <c r="E109" s="218">
        <v>0</v>
      </c>
      <c r="F109" s="217" t="str">
        <f t="shared" si="1"/>
        <v>-</v>
      </c>
    </row>
    <row r="110" spans="1:6" ht="14.1" customHeight="1" x14ac:dyDescent="0.25">
      <c r="A110" s="276" t="s">
        <v>2081</v>
      </c>
      <c r="B110" s="277" t="s">
        <v>2082</v>
      </c>
      <c r="C110" s="331">
        <v>99</v>
      </c>
      <c r="D110" s="218">
        <v>0</v>
      </c>
      <c r="E110" s="218">
        <v>0</v>
      </c>
      <c r="F110" s="217" t="str">
        <f t="shared" si="1"/>
        <v>-</v>
      </c>
    </row>
    <row r="111" spans="1:6" ht="14.1" customHeight="1" x14ac:dyDescent="0.25">
      <c r="A111" s="276" t="s">
        <v>3174</v>
      </c>
      <c r="B111" s="277" t="s">
        <v>1325</v>
      </c>
      <c r="C111" s="331">
        <v>100</v>
      </c>
      <c r="D111" s="218">
        <v>0</v>
      </c>
      <c r="E111" s="218">
        <v>0</v>
      </c>
      <c r="F111" s="217" t="str">
        <f t="shared" si="1"/>
        <v>-</v>
      </c>
    </row>
    <row r="112" spans="1:6" ht="14.1" customHeight="1" x14ac:dyDescent="0.25">
      <c r="A112" s="276" t="s">
        <v>1326</v>
      </c>
      <c r="B112" s="277" t="s">
        <v>1327</v>
      </c>
      <c r="C112" s="331">
        <v>101</v>
      </c>
      <c r="D112" s="218">
        <v>0</v>
      </c>
      <c r="E112" s="218">
        <v>0</v>
      </c>
      <c r="F112" s="217" t="str">
        <f t="shared" si="1"/>
        <v>-</v>
      </c>
    </row>
    <row r="113" spans="1:6" ht="14.1" customHeight="1" x14ac:dyDescent="0.25">
      <c r="A113" s="276" t="s">
        <v>1328</v>
      </c>
      <c r="B113" s="277" t="s">
        <v>1329</v>
      </c>
      <c r="C113" s="331">
        <v>102</v>
      </c>
      <c r="D113" s="218">
        <v>74384</v>
      </c>
      <c r="E113" s="218">
        <v>31028</v>
      </c>
      <c r="F113" s="217">
        <f t="shared" si="1"/>
        <v>41.713271671327171</v>
      </c>
    </row>
    <row r="114" spans="1:6" ht="14.1" customHeight="1" x14ac:dyDescent="0.25">
      <c r="A114" s="276" t="s">
        <v>1330</v>
      </c>
      <c r="B114" s="277" t="s">
        <v>4379</v>
      </c>
      <c r="C114" s="331">
        <v>103</v>
      </c>
      <c r="D114" s="216">
        <f>SUM(D115:D120)</f>
        <v>142014</v>
      </c>
      <c r="E114" s="216">
        <f>SUM(E115:E120)</f>
        <v>134885</v>
      </c>
      <c r="F114" s="217">
        <f t="shared" si="1"/>
        <v>94.980072387229427</v>
      </c>
    </row>
    <row r="115" spans="1:6" ht="14.1" customHeight="1" x14ac:dyDescent="0.25">
      <c r="A115" s="276" t="s">
        <v>2429</v>
      </c>
      <c r="B115" s="277" t="s">
        <v>2430</v>
      </c>
      <c r="C115" s="331">
        <v>104</v>
      </c>
      <c r="D115" s="218">
        <v>93814</v>
      </c>
      <c r="E115" s="218">
        <v>93625</v>
      </c>
      <c r="F115" s="217">
        <f t="shared" si="1"/>
        <v>99.798537531711688</v>
      </c>
    </row>
    <row r="116" spans="1:6" ht="14.1" customHeight="1" x14ac:dyDescent="0.25">
      <c r="A116" s="276" t="s">
        <v>2431</v>
      </c>
      <c r="B116" s="277" t="s">
        <v>2432</v>
      </c>
      <c r="C116" s="331">
        <v>105</v>
      </c>
      <c r="D116" s="218">
        <v>7000</v>
      </c>
      <c r="E116" s="218">
        <v>7000</v>
      </c>
      <c r="F116" s="217">
        <f t="shared" si="1"/>
        <v>100</v>
      </c>
    </row>
    <row r="117" spans="1:6" ht="14.1" customHeight="1" x14ac:dyDescent="0.25">
      <c r="A117" s="276" t="s">
        <v>2433</v>
      </c>
      <c r="B117" s="277" t="s">
        <v>2434</v>
      </c>
      <c r="C117" s="331">
        <v>106</v>
      </c>
      <c r="D117" s="218">
        <v>0</v>
      </c>
      <c r="E117" s="218">
        <v>0</v>
      </c>
      <c r="F117" s="217" t="str">
        <f t="shared" si="1"/>
        <v>-</v>
      </c>
    </row>
    <row r="118" spans="1:6" ht="14.1" customHeight="1" x14ac:dyDescent="0.25">
      <c r="A118" s="276" t="s">
        <v>2435</v>
      </c>
      <c r="B118" s="277" t="s">
        <v>2436</v>
      </c>
      <c r="C118" s="331">
        <v>107</v>
      </c>
      <c r="D118" s="218">
        <v>25000</v>
      </c>
      <c r="E118" s="218">
        <v>20000</v>
      </c>
      <c r="F118" s="217">
        <f t="shared" si="1"/>
        <v>80</v>
      </c>
    </row>
    <row r="119" spans="1:6" ht="14.1" customHeight="1" x14ac:dyDescent="0.25">
      <c r="A119" s="276" t="s">
        <v>2437</v>
      </c>
      <c r="B119" s="277" t="s">
        <v>2438</v>
      </c>
      <c r="C119" s="331">
        <v>108</v>
      </c>
      <c r="D119" s="218">
        <v>0</v>
      </c>
      <c r="E119" s="218">
        <v>0</v>
      </c>
      <c r="F119" s="217" t="str">
        <f t="shared" si="1"/>
        <v>-</v>
      </c>
    </row>
    <row r="120" spans="1:6" ht="14.1" customHeight="1" x14ac:dyDescent="0.25">
      <c r="A120" s="276" t="s">
        <v>2439</v>
      </c>
      <c r="B120" s="277" t="s">
        <v>2440</v>
      </c>
      <c r="C120" s="331">
        <v>109</v>
      </c>
      <c r="D120" s="218">
        <v>16200</v>
      </c>
      <c r="E120" s="218">
        <v>14260</v>
      </c>
      <c r="F120" s="217">
        <f t="shared" si="1"/>
        <v>88.024691358024683</v>
      </c>
    </row>
    <row r="121" spans="1:6" ht="14.1" customHeight="1" x14ac:dyDescent="0.25">
      <c r="A121" s="276" t="s">
        <v>2441</v>
      </c>
      <c r="B121" s="277" t="s">
        <v>962</v>
      </c>
      <c r="C121" s="331">
        <v>110</v>
      </c>
      <c r="D121" s="216">
        <f>D122+D125+D128+D129+SUM(D132:D135)</f>
        <v>117160</v>
      </c>
      <c r="E121" s="216">
        <f>E122+E125+E128+E129+SUM(E132:E135)</f>
        <v>167168</v>
      </c>
      <c r="F121" s="217">
        <f t="shared" si="1"/>
        <v>142.68350973028336</v>
      </c>
    </row>
    <row r="122" spans="1:6" ht="14.1" customHeight="1" x14ac:dyDescent="0.25">
      <c r="A122" s="276" t="s">
        <v>2442</v>
      </c>
      <c r="B122" s="277" t="s">
        <v>963</v>
      </c>
      <c r="C122" s="331">
        <v>111</v>
      </c>
      <c r="D122" s="216">
        <f>SUM(D123:D124)</f>
        <v>117160</v>
      </c>
      <c r="E122" s="216">
        <f>SUM(E123:E124)</f>
        <v>167168</v>
      </c>
      <c r="F122" s="217">
        <f t="shared" si="1"/>
        <v>142.68350973028336</v>
      </c>
    </row>
    <row r="123" spans="1:6" ht="14.1" customHeight="1" x14ac:dyDescent="0.25">
      <c r="A123" s="276" t="s">
        <v>2443</v>
      </c>
      <c r="B123" s="277" t="s">
        <v>4488</v>
      </c>
      <c r="C123" s="331">
        <v>112</v>
      </c>
      <c r="D123" s="218">
        <v>85746</v>
      </c>
      <c r="E123" s="218">
        <v>136122</v>
      </c>
      <c r="F123" s="217">
        <f t="shared" si="1"/>
        <v>158.75026240291092</v>
      </c>
    </row>
    <row r="124" spans="1:6" ht="14.1" customHeight="1" x14ac:dyDescent="0.25">
      <c r="A124" s="276" t="s">
        <v>2444</v>
      </c>
      <c r="B124" s="277" t="s">
        <v>4489</v>
      </c>
      <c r="C124" s="331">
        <v>113</v>
      </c>
      <c r="D124" s="218">
        <v>31414</v>
      </c>
      <c r="E124" s="218">
        <v>31046</v>
      </c>
      <c r="F124" s="217">
        <f t="shared" si="1"/>
        <v>98.82854778124404</v>
      </c>
    </row>
    <row r="125" spans="1:6" ht="14.1" customHeight="1" x14ac:dyDescent="0.25">
      <c r="A125" s="276" t="s">
        <v>2445</v>
      </c>
      <c r="B125" s="277" t="s">
        <v>964</v>
      </c>
      <c r="C125" s="331">
        <v>114</v>
      </c>
      <c r="D125" s="216">
        <f>SUM(D126:D127)</f>
        <v>0</v>
      </c>
      <c r="E125" s="216">
        <f>SUM(E126:E127)</f>
        <v>0</v>
      </c>
      <c r="F125" s="217" t="str">
        <f t="shared" si="1"/>
        <v>-</v>
      </c>
    </row>
    <row r="126" spans="1:6" ht="14.1" customHeight="1" x14ac:dyDescent="0.25">
      <c r="A126" s="276" t="s">
        <v>2446</v>
      </c>
      <c r="B126" s="277" t="s">
        <v>2447</v>
      </c>
      <c r="C126" s="331">
        <v>115</v>
      </c>
      <c r="D126" s="218">
        <v>0</v>
      </c>
      <c r="E126" s="218">
        <v>0</v>
      </c>
      <c r="F126" s="217" t="str">
        <f t="shared" si="1"/>
        <v>-</v>
      </c>
    </row>
    <row r="127" spans="1:6" ht="14.1" customHeight="1" x14ac:dyDescent="0.25">
      <c r="A127" s="276" t="s">
        <v>2448</v>
      </c>
      <c r="B127" s="277" t="s">
        <v>4042</v>
      </c>
      <c r="C127" s="331">
        <v>116</v>
      </c>
      <c r="D127" s="218">
        <v>0</v>
      </c>
      <c r="E127" s="218">
        <v>0</v>
      </c>
      <c r="F127" s="217" t="str">
        <f t="shared" si="1"/>
        <v>-</v>
      </c>
    </row>
    <row r="128" spans="1:6" ht="14.1" customHeight="1" x14ac:dyDescent="0.25">
      <c r="A128" s="276" t="s">
        <v>4043</v>
      </c>
      <c r="B128" s="277" t="s">
        <v>4044</v>
      </c>
      <c r="C128" s="331">
        <v>117</v>
      </c>
      <c r="D128" s="218">
        <v>0</v>
      </c>
      <c r="E128" s="218">
        <v>0</v>
      </c>
      <c r="F128" s="217" t="str">
        <f t="shared" si="1"/>
        <v>-</v>
      </c>
    </row>
    <row r="129" spans="1:6" ht="14.1" customHeight="1" x14ac:dyDescent="0.25">
      <c r="A129" s="276" t="s">
        <v>4045</v>
      </c>
      <c r="B129" s="277" t="s">
        <v>965</v>
      </c>
      <c r="C129" s="331">
        <v>118</v>
      </c>
      <c r="D129" s="216">
        <f>SUM(D130:D131)</f>
        <v>0</v>
      </c>
      <c r="E129" s="216">
        <f>SUM(E130:E131)</f>
        <v>0</v>
      </c>
      <c r="F129" s="217" t="str">
        <f t="shared" si="1"/>
        <v>-</v>
      </c>
    </row>
    <row r="130" spans="1:6" ht="14.1" customHeight="1" x14ac:dyDescent="0.25">
      <c r="A130" s="276" t="s">
        <v>2785</v>
      </c>
      <c r="B130" s="277" t="s">
        <v>2786</v>
      </c>
      <c r="C130" s="331">
        <v>119</v>
      </c>
      <c r="D130" s="218">
        <v>0</v>
      </c>
      <c r="E130" s="218">
        <v>0</v>
      </c>
      <c r="F130" s="217" t="str">
        <f t="shared" si="1"/>
        <v>-</v>
      </c>
    </row>
    <row r="131" spans="1:6" ht="14.1" customHeight="1" x14ac:dyDescent="0.25">
      <c r="A131" s="276" t="s">
        <v>2787</v>
      </c>
      <c r="B131" s="277" t="s">
        <v>2788</v>
      </c>
      <c r="C131" s="331">
        <v>120</v>
      </c>
      <c r="D131" s="218">
        <v>0</v>
      </c>
      <c r="E131" s="218">
        <v>0</v>
      </c>
      <c r="F131" s="217" t="str">
        <f t="shared" si="1"/>
        <v>-</v>
      </c>
    </row>
    <row r="132" spans="1:6" ht="14.1" customHeight="1" x14ac:dyDescent="0.25">
      <c r="A132" s="276" t="s">
        <v>2789</v>
      </c>
      <c r="B132" s="277" t="s">
        <v>2790</v>
      </c>
      <c r="C132" s="331">
        <v>121</v>
      </c>
      <c r="D132" s="218">
        <v>0</v>
      </c>
      <c r="E132" s="218">
        <v>0</v>
      </c>
      <c r="F132" s="217" t="str">
        <f t="shared" si="1"/>
        <v>-</v>
      </c>
    </row>
    <row r="133" spans="1:6" ht="14.1" customHeight="1" x14ac:dyDescent="0.25">
      <c r="A133" s="276" t="s">
        <v>2791</v>
      </c>
      <c r="B133" s="277" t="s">
        <v>2792</v>
      </c>
      <c r="C133" s="331">
        <v>122</v>
      </c>
      <c r="D133" s="218">
        <v>0</v>
      </c>
      <c r="E133" s="218">
        <v>0</v>
      </c>
      <c r="F133" s="217" t="str">
        <f t="shared" si="1"/>
        <v>-</v>
      </c>
    </row>
    <row r="134" spans="1:6" ht="14.1" customHeight="1" x14ac:dyDescent="0.25">
      <c r="A134" s="276" t="s">
        <v>2793</v>
      </c>
      <c r="B134" s="277" t="s">
        <v>2794</v>
      </c>
      <c r="C134" s="331">
        <v>123</v>
      </c>
      <c r="D134" s="218">
        <v>0</v>
      </c>
      <c r="E134" s="218">
        <v>0</v>
      </c>
      <c r="F134" s="217" t="str">
        <f t="shared" si="1"/>
        <v>-</v>
      </c>
    </row>
    <row r="135" spans="1:6" ht="14.1" customHeight="1" x14ac:dyDescent="0.25">
      <c r="A135" s="276" t="s">
        <v>2795</v>
      </c>
      <c r="B135" s="277" t="s">
        <v>2796</v>
      </c>
      <c r="C135" s="331">
        <v>124</v>
      </c>
      <c r="D135" s="218">
        <v>0</v>
      </c>
      <c r="E135" s="218">
        <v>0</v>
      </c>
      <c r="F135" s="217" t="str">
        <f t="shared" si="1"/>
        <v>-</v>
      </c>
    </row>
    <row r="136" spans="1:6" ht="14.1" customHeight="1" x14ac:dyDescent="0.25">
      <c r="A136" s="276" t="s">
        <v>2797</v>
      </c>
      <c r="B136" s="277" t="s">
        <v>2798</v>
      </c>
      <c r="C136" s="331">
        <v>125</v>
      </c>
      <c r="D136" s="216">
        <f>D137+D140+SUM(D141:D147)</f>
        <v>221942</v>
      </c>
      <c r="E136" s="216">
        <f>E137+E140+SUM(E141:E147)</f>
        <v>218504</v>
      </c>
      <c r="F136" s="217">
        <f t="shared" si="1"/>
        <v>98.450946643717728</v>
      </c>
    </row>
    <row r="137" spans="1:6" ht="14.1" customHeight="1" x14ac:dyDescent="0.25">
      <c r="A137" s="276" t="s">
        <v>2799</v>
      </c>
      <c r="B137" s="277" t="s">
        <v>2800</v>
      </c>
      <c r="C137" s="331">
        <v>126</v>
      </c>
      <c r="D137" s="216">
        <f>SUM(D138:D139)</f>
        <v>0</v>
      </c>
      <c r="E137" s="216">
        <f>SUM(E138:E139)</f>
        <v>0</v>
      </c>
      <c r="F137" s="217" t="str">
        <f t="shared" si="1"/>
        <v>-</v>
      </c>
    </row>
    <row r="138" spans="1:6" ht="14.1" customHeight="1" x14ac:dyDescent="0.25">
      <c r="A138" s="276" t="s">
        <v>2801</v>
      </c>
      <c r="B138" s="277" t="s">
        <v>2802</v>
      </c>
      <c r="C138" s="331">
        <v>127</v>
      </c>
      <c r="D138" s="218">
        <v>0</v>
      </c>
      <c r="E138" s="218">
        <v>0</v>
      </c>
      <c r="F138" s="217" t="str">
        <f t="shared" si="1"/>
        <v>-</v>
      </c>
    </row>
    <row r="139" spans="1:6" ht="14.1" customHeight="1" x14ac:dyDescent="0.25">
      <c r="A139" s="276" t="s">
        <v>2803</v>
      </c>
      <c r="B139" s="277" t="s">
        <v>2804</v>
      </c>
      <c r="C139" s="331">
        <v>128</v>
      </c>
      <c r="D139" s="218">
        <v>0</v>
      </c>
      <c r="E139" s="218">
        <v>0</v>
      </c>
      <c r="F139" s="217" t="str">
        <f t="shared" si="1"/>
        <v>-</v>
      </c>
    </row>
    <row r="140" spans="1:6" ht="14.1" customHeight="1" x14ac:dyDescent="0.25">
      <c r="A140" s="276" t="s">
        <v>2805</v>
      </c>
      <c r="B140" s="277" t="s">
        <v>2806</v>
      </c>
      <c r="C140" s="331">
        <v>129</v>
      </c>
      <c r="D140" s="218">
        <v>0</v>
      </c>
      <c r="E140" s="218">
        <v>0</v>
      </c>
      <c r="F140" s="217" t="str">
        <f t="shared" si="1"/>
        <v>-</v>
      </c>
    </row>
    <row r="141" spans="1:6" ht="14.1" customHeight="1" x14ac:dyDescent="0.25">
      <c r="A141" s="276" t="s">
        <v>2807</v>
      </c>
      <c r="B141" s="277" t="s">
        <v>3576</v>
      </c>
      <c r="C141" s="331">
        <v>130</v>
      </c>
      <c r="D141" s="218">
        <v>0</v>
      </c>
      <c r="E141" s="218">
        <v>0</v>
      </c>
      <c r="F141" s="217" t="str">
        <f>IF(D141&gt;0,IF(E141/D141&gt;=100,"&gt;&gt;100",E141/D141*100),"-")</f>
        <v>-</v>
      </c>
    </row>
    <row r="142" spans="1:6" ht="14.1" customHeight="1" x14ac:dyDescent="0.25">
      <c r="A142" s="276" t="s">
        <v>2808</v>
      </c>
      <c r="B142" s="277" t="s">
        <v>2809</v>
      </c>
      <c r="C142" s="331">
        <v>131</v>
      </c>
      <c r="D142" s="218">
        <v>0</v>
      </c>
      <c r="E142" s="218">
        <v>0</v>
      </c>
      <c r="F142" s="217" t="str">
        <f t="shared" ref="F142:F148" si="2">IF(D142&gt;0,IF(E142/D142&gt;=100,"&gt;&gt;100",E142/D142*100),"-")</f>
        <v>-</v>
      </c>
    </row>
    <row r="143" spans="1:6" ht="14.1" customHeight="1" x14ac:dyDescent="0.25">
      <c r="A143" s="276" t="s">
        <v>2810</v>
      </c>
      <c r="B143" s="277" t="s">
        <v>2811</v>
      </c>
      <c r="C143" s="331">
        <v>132</v>
      </c>
      <c r="D143" s="218">
        <v>0</v>
      </c>
      <c r="E143" s="218">
        <v>0</v>
      </c>
      <c r="F143" s="217" t="str">
        <f t="shared" si="2"/>
        <v>-</v>
      </c>
    </row>
    <row r="144" spans="1:6" ht="14.1" customHeight="1" x14ac:dyDescent="0.25">
      <c r="A144" s="276" t="s">
        <v>2812</v>
      </c>
      <c r="B144" s="277" t="s">
        <v>2813</v>
      </c>
      <c r="C144" s="331">
        <v>133</v>
      </c>
      <c r="D144" s="218">
        <v>0</v>
      </c>
      <c r="E144" s="218">
        <v>0</v>
      </c>
      <c r="F144" s="217" t="str">
        <f t="shared" si="2"/>
        <v>-</v>
      </c>
    </row>
    <row r="145" spans="1:6" ht="14.1" customHeight="1" x14ac:dyDescent="0.25">
      <c r="A145" s="276" t="s">
        <v>2814</v>
      </c>
      <c r="B145" s="219" t="s">
        <v>2815</v>
      </c>
      <c r="C145" s="331">
        <v>134</v>
      </c>
      <c r="D145" s="218">
        <v>221942</v>
      </c>
      <c r="E145" s="218">
        <v>218504</v>
      </c>
      <c r="F145" s="217">
        <f t="shared" si="2"/>
        <v>98.450946643717728</v>
      </c>
    </row>
    <row r="146" spans="1:6" ht="14.1" customHeight="1" x14ac:dyDescent="0.25">
      <c r="A146" s="276" t="s">
        <v>2816</v>
      </c>
      <c r="B146" s="277" t="s">
        <v>2817</v>
      </c>
      <c r="C146" s="331">
        <v>135</v>
      </c>
      <c r="D146" s="218">
        <v>0</v>
      </c>
      <c r="E146" s="218">
        <v>0</v>
      </c>
      <c r="F146" s="217" t="str">
        <f t="shared" si="2"/>
        <v>-</v>
      </c>
    </row>
    <row r="147" spans="1:6" ht="14.1" customHeight="1" x14ac:dyDescent="0.25">
      <c r="A147" s="278" t="s">
        <v>4372</v>
      </c>
      <c r="B147" s="279" t="s">
        <v>1375</v>
      </c>
      <c r="C147" s="334">
        <v>136</v>
      </c>
      <c r="D147" s="229">
        <v>0</v>
      </c>
      <c r="E147" s="229">
        <v>0</v>
      </c>
      <c r="F147" s="230" t="str">
        <f t="shared" si="2"/>
        <v>-</v>
      </c>
    </row>
    <row r="148" spans="1:6" ht="14.1" customHeight="1" x14ac:dyDescent="0.25">
      <c r="A148" s="280"/>
      <c r="B148" s="281" t="s">
        <v>966</v>
      </c>
      <c r="C148" s="336">
        <v>137</v>
      </c>
      <c r="D148" s="282">
        <f>D12+D29+D35+D42+D82+D89+D96+D114+D121+D136</f>
        <v>2989420</v>
      </c>
      <c r="E148" s="282">
        <f>E12+E29+E35+E42+E82+E89+E96+E114+E121+E136</f>
        <v>3329440</v>
      </c>
      <c r="F148" s="283">
        <f t="shared" si="2"/>
        <v>111.37411270413659</v>
      </c>
    </row>
    <row r="149" spans="1:6" ht="5.0999999999999996" customHeight="1" x14ac:dyDescent="0.25"/>
  </sheetData>
  <sheetProtection password="C79A" sheet="1" objects="1" scenarios="1"/>
  <mergeCells count="9">
    <mergeCell ref="A1:B1"/>
    <mergeCell ref="C1:F1"/>
    <mergeCell ref="B4:F4"/>
    <mergeCell ref="B5:F5"/>
    <mergeCell ref="B7:F7"/>
    <mergeCell ref="A3:D3"/>
    <mergeCell ref="E2:F2"/>
    <mergeCell ref="A2:D2"/>
    <mergeCell ref="B6:F6"/>
  </mergeCells>
  <phoneticPr fontId="10" type="noConversion"/>
  <conditionalFormatting sqref="D12:E148">
    <cfRule type="cellIs" dxfId="10" priority="1" stopIfTrue="1" operator="lessThan">
      <formula>0</formula>
    </cfRule>
  </conditionalFormatting>
  <conditionalFormatting sqref="C9:D9">
    <cfRule type="cellIs" dxfId="9" priority="2" stopIfTrue="1" operator="equal">
      <formula>"Obrazac ima još nezadovoljenih kontrola, provjerite radni list Kontrole"</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31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80" fitToHeight="0" orientation="portrait" r:id="rId1"/>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pageSetUpPr fitToPage="1"/>
  </sheetPr>
  <dimension ref="A1:G56"/>
  <sheetViews>
    <sheetView showGridLines="0" showRowColHeaders="0" tabSelected="1" workbookViewId="0">
      <selection activeCell="A3" sqref="A3:C3"/>
    </sheetView>
  </sheetViews>
  <sheetFormatPr defaultColWidth="0" defaultRowHeight="13.2" zeroHeight="1" x14ac:dyDescent="0.25"/>
  <cols>
    <col min="1" max="1" width="7.6640625" style="4" customWidth="1"/>
    <col min="2" max="2" width="70.6640625" style="4" customWidth="1"/>
    <col min="3" max="3" width="4.33203125" style="4" customWidth="1"/>
    <col min="4" max="5" width="15.6640625" style="4" customWidth="1"/>
    <col min="6" max="6" width="0.88671875" style="4" hidden="1" customWidth="1"/>
    <col min="7" max="7" width="0.88671875" style="4" customWidth="1"/>
    <col min="8" max="16384" width="9.109375" style="4" hidden="1"/>
  </cols>
  <sheetData>
    <row r="1" spans="1:6" s="1" customFormat="1" ht="20.100000000000001" customHeight="1" thickBot="1" x14ac:dyDescent="0.3">
      <c r="A1" s="538" t="s">
        <v>4155</v>
      </c>
      <c r="B1" s="539"/>
      <c r="C1" s="572" t="s">
        <v>4065</v>
      </c>
      <c r="D1" s="572"/>
      <c r="E1" s="572"/>
    </row>
    <row r="2" spans="1:6" s="3" customFormat="1" ht="48" customHeight="1" thickBot="1" x14ac:dyDescent="0.3">
      <c r="A2" s="569" t="s">
        <v>1763</v>
      </c>
      <c r="B2" s="570"/>
      <c r="C2" s="546"/>
      <c r="D2" s="555" t="s">
        <v>3244</v>
      </c>
      <c r="E2" s="556"/>
    </row>
    <row r="3" spans="1:6" ht="30" customHeight="1" x14ac:dyDescent="0.25">
      <c r="A3" s="571" t="str">
        <f>IF(RefStr!F6="","- prije popunjavanja obrasca odaberite razdoblje -",IF(RIGHT(RefStr!F6,2)="12",LOOKUP(RefStr!F6,RefStr!N40:N64,RefStr!Q40:Q64)," - za označeno razdoblje obrazac se ne popunjava -"))</f>
        <v>za razdoblje 1. siječnja do 31. prosinca 2014. godine</v>
      </c>
      <c r="B3" s="571"/>
      <c r="C3" s="571"/>
    </row>
    <row r="4" spans="1:6" ht="15" customHeight="1" x14ac:dyDescent="0.25">
      <c r="A4" s="59" t="s">
        <v>3293</v>
      </c>
      <c r="B4" s="528" t="str">
        <f xml:space="preserve"> "RKP: " &amp; TEXT(INT(VALUE(RefStr!B6)),"00000") &amp; ",  " &amp; "MB: " &amp; TEXT(INT(VALUE(RefStr!B8)), "00000000") &amp; "  " &amp; RefStr!B10</f>
        <v>RKP: 281186,  MB: 02745658  OPĆINA SOKOLOVAC</v>
      </c>
      <c r="C4" s="529"/>
      <c r="D4" s="529"/>
      <c r="E4" s="529"/>
      <c r="F4" s="529"/>
    </row>
    <row r="5" spans="1:6" ht="15" customHeight="1" x14ac:dyDescent="0.25">
      <c r="A5" s="62"/>
      <c r="B5" s="528" t="str">
        <f>RefStr!B12 &amp; " " &amp; RefStr!C12 &amp; ", " &amp; RefStr!B14</f>
        <v>48306 Sokolovac, Trg dr. Bardeka 8</v>
      </c>
      <c r="C5" s="529"/>
      <c r="D5" s="529"/>
      <c r="E5" s="529"/>
      <c r="F5" s="529"/>
    </row>
    <row r="6" spans="1:6" ht="15" customHeight="1" x14ac:dyDescent="0.25">
      <c r="A6" s="63"/>
      <c r="B6" s="530" t="str">
        <f xml:space="preserve"> "Razina: " &amp; RefStr!B16 &amp; ", Razdjel: " &amp; TEXT(INT(VALUE(RefStr!B20)), "000")</f>
        <v>Razina: 22, Razdjel: 000</v>
      </c>
      <c r="C6" s="531"/>
      <c r="D6" s="531"/>
      <c r="E6" s="531"/>
      <c r="F6" s="531"/>
    </row>
    <row r="7" spans="1:6" ht="15" customHeight="1" x14ac:dyDescent="0.25">
      <c r="A7" s="63"/>
      <c r="B7" s="530" t="str">
        <f>"Djelatnost: " &amp; RefStr!B18 &amp; " " &amp; RefStr!C18</f>
        <v>Djelatnost: 8411 Opće djelatnosti javne uprave</v>
      </c>
      <c r="C7" s="531"/>
      <c r="D7" s="531"/>
      <c r="E7" s="531"/>
      <c r="F7" s="531"/>
    </row>
    <row r="8" spans="1:6" ht="12.9" customHeight="1" x14ac:dyDescent="0.25"/>
    <row r="9" spans="1:6" ht="12.9" customHeight="1" x14ac:dyDescent="0.25">
      <c r="A9" s="29"/>
      <c r="B9" s="5"/>
      <c r="C9" s="31"/>
      <c r="D9" s="31"/>
      <c r="E9" s="5"/>
    </row>
    <row r="10" spans="1:6" ht="38.25" customHeight="1" x14ac:dyDescent="0.25">
      <c r="A10" s="23" t="s">
        <v>4069</v>
      </c>
      <c r="B10" s="20" t="s">
        <v>1770</v>
      </c>
      <c r="C10" s="22" t="s">
        <v>4501</v>
      </c>
      <c r="D10" s="111" t="s">
        <v>1956</v>
      </c>
      <c r="E10" s="23" t="s">
        <v>1957</v>
      </c>
    </row>
    <row r="11" spans="1:6" ht="12" customHeight="1" x14ac:dyDescent="0.25">
      <c r="A11" s="107">
        <v>1</v>
      </c>
      <c r="B11" s="108">
        <v>2</v>
      </c>
      <c r="C11" s="109">
        <v>3</v>
      </c>
      <c r="D11" s="109">
        <v>4</v>
      </c>
      <c r="E11" s="107">
        <v>5</v>
      </c>
    </row>
    <row r="12" spans="1:6" ht="14.1" customHeight="1" x14ac:dyDescent="0.25">
      <c r="A12" s="285" t="s">
        <v>1958</v>
      </c>
      <c r="B12" s="286" t="s">
        <v>873</v>
      </c>
      <c r="C12" s="333">
        <v>1</v>
      </c>
      <c r="D12" s="212">
        <f>D13+D29</f>
        <v>0</v>
      </c>
      <c r="E12" s="287">
        <f>E13+E29</f>
        <v>0</v>
      </c>
    </row>
    <row r="13" spans="1:6" ht="14.1" customHeight="1" x14ac:dyDescent="0.25">
      <c r="A13" s="288" t="s">
        <v>874</v>
      </c>
      <c r="B13" s="167" t="s">
        <v>875</v>
      </c>
      <c r="C13" s="331">
        <v>2</v>
      </c>
      <c r="D13" s="216">
        <f>D14+D21</f>
        <v>0</v>
      </c>
      <c r="E13" s="169">
        <f>E14+E21</f>
        <v>0</v>
      </c>
    </row>
    <row r="14" spans="1:6" ht="14.1" customHeight="1" x14ac:dyDescent="0.25">
      <c r="A14" s="288" t="s">
        <v>4492</v>
      </c>
      <c r="B14" s="167" t="s">
        <v>876</v>
      </c>
      <c r="C14" s="331">
        <v>3</v>
      </c>
      <c r="D14" s="216">
        <f>SUM(D15:D20)</f>
        <v>0</v>
      </c>
      <c r="E14" s="169">
        <f>SUM(E15:E20)</f>
        <v>0</v>
      </c>
    </row>
    <row r="15" spans="1:6" ht="14.1" customHeight="1" x14ac:dyDescent="0.25">
      <c r="A15" s="288" t="s">
        <v>4492</v>
      </c>
      <c r="B15" s="167" t="s">
        <v>16</v>
      </c>
      <c r="C15" s="331">
        <v>4</v>
      </c>
      <c r="D15" s="218">
        <v>0</v>
      </c>
      <c r="E15" s="168">
        <v>0</v>
      </c>
    </row>
    <row r="16" spans="1:6" ht="14.1" customHeight="1" x14ac:dyDescent="0.25">
      <c r="A16" s="288" t="s">
        <v>4492</v>
      </c>
      <c r="B16" s="167" t="s">
        <v>1790</v>
      </c>
      <c r="C16" s="331">
        <v>5</v>
      </c>
      <c r="D16" s="218">
        <v>0</v>
      </c>
      <c r="E16" s="168">
        <v>0</v>
      </c>
    </row>
    <row r="17" spans="1:5" ht="14.1" customHeight="1" x14ac:dyDescent="0.25">
      <c r="A17" s="288" t="s">
        <v>4492</v>
      </c>
      <c r="B17" s="167" t="s">
        <v>4331</v>
      </c>
      <c r="C17" s="331">
        <v>6</v>
      </c>
      <c r="D17" s="218">
        <v>0</v>
      </c>
      <c r="E17" s="168">
        <v>0</v>
      </c>
    </row>
    <row r="18" spans="1:5" ht="14.1" customHeight="1" x14ac:dyDescent="0.25">
      <c r="A18" s="288" t="s">
        <v>4492</v>
      </c>
      <c r="B18" s="167" t="s">
        <v>1791</v>
      </c>
      <c r="C18" s="331">
        <v>7</v>
      </c>
      <c r="D18" s="218">
        <v>0</v>
      </c>
      <c r="E18" s="168">
        <v>0</v>
      </c>
    </row>
    <row r="19" spans="1:5" ht="14.1" customHeight="1" x14ac:dyDescent="0.25">
      <c r="A19" s="288" t="s">
        <v>4492</v>
      </c>
      <c r="B19" s="167" t="s">
        <v>969</v>
      </c>
      <c r="C19" s="331">
        <v>8</v>
      </c>
      <c r="D19" s="218">
        <v>0</v>
      </c>
      <c r="E19" s="168">
        <v>0</v>
      </c>
    </row>
    <row r="20" spans="1:5" ht="14.1" customHeight="1" x14ac:dyDescent="0.25">
      <c r="A20" s="288" t="s">
        <v>4492</v>
      </c>
      <c r="B20" s="167" t="s">
        <v>1792</v>
      </c>
      <c r="C20" s="331">
        <v>9</v>
      </c>
      <c r="D20" s="218">
        <v>0</v>
      </c>
      <c r="E20" s="168">
        <v>0</v>
      </c>
    </row>
    <row r="21" spans="1:5" ht="14.1" customHeight="1" x14ac:dyDescent="0.25">
      <c r="A21" s="288" t="s">
        <v>4492</v>
      </c>
      <c r="B21" s="167" t="s">
        <v>1793</v>
      </c>
      <c r="C21" s="331">
        <v>10</v>
      </c>
      <c r="D21" s="216">
        <f>SUM(D22:D28)</f>
        <v>0</v>
      </c>
      <c r="E21" s="169">
        <f>SUM(E22:E28)</f>
        <v>0</v>
      </c>
    </row>
    <row r="22" spans="1:5" ht="14.1" customHeight="1" x14ac:dyDescent="0.25">
      <c r="A22" s="288" t="s">
        <v>4492</v>
      </c>
      <c r="B22" s="167" t="s">
        <v>1794</v>
      </c>
      <c r="C22" s="331">
        <v>11</v>
      </c>
      <c r="D22" s="218">
        <v>0</v>
      </c>
      <c r="E22" s="168">
        <v>0</v>
      </c>
    </row>
    <row r="23" spans="1:5" ht="14.1" customHeight="1" x14ac:dyDescent="0.25">
      <c r="A23" s="288" t="s">
        <v>4492</v>
      </c>
      <c r="B23" s="167" t="s">
        <v>2750</v>
      </c>
      <c r="C23" s="331">
        <v>12</v>
      </c>
      <c r="D23" s="218">
        <v>0</v>
      </c>
      <c r="E23" s="168">
        <v>0</v>
      </c>
    </row>
    <row r="24" spans="1:5" ht="14.1" customHeight="1" x14ac:dyDescent="0.25">
      <c r="A24" s="288" t="s">
        <v>4492</v>
      </c>
      <c r="B24" s="167" t="s">
        <v>970</v>
      </c>
      <c r="C24" s="331">
        <v>13</v>
      </c>
      <c r="D24" s="218">
        <v>0</v>
      </c>
      <c r="E24" s="168">
        <v>0</v>
      </c>
    </row>
    <row r="25" spans="1:5" ht="14.1" customHeight="1" x14ac:dyDescent="0.25">
      <c r="A25" s="288" t="s">
        <v>4492</v>
      </c>
      <c r="B25" s="167" t="s">
        <v>1795</v>
      </c>
      <c r="C25" s="331">
        <v>14</v>
      </c>
      <c r="D25" s="218">
        <v>0</v>
      </c>
      <c r="E25" s="168">
        <v>0</v>
      </c>
    </row>
    <row r="26" spans="1:5" ht="14.1" customHeight="1" x14ac:dyDescent="0.25">
      <c r="A26" s="288" t="s">
        <v>4492</v>
      </c>
      <c r="B26" s="167" t="s">
        <v>1796</v>
      </c>
      <c r="C26" s="331">
        <v>15</v>
      </c>
      <c r="D26" s="218">
        <v>0</v>
      </c>
      <c r="E26" s="168">
        <v>0</v>
      </c>
    </row>
    <row r="27" spans="1:5" ht="14.1" customHeight="1" x14ac:dyDescent="0.25">
      <c r="A27" s="288" t="s">
        <v>4492</v>
      </c>
      <c r="B27" s="167" t="s">
        <v>1797</v>
      </c>
      <c r="C27" s="331">
        <v>16</v>
      </c>
      <c r="D27" s="218">
        <v>0</v>
      </c>
      <c r="E27" s="168">
        <v>0</v>
      </c>
    </row>
    <row r="28" spans="1:5" ht="14.1" customHeight="1" x14ac:dyDescent="0.25">
      <c r="A28" s="288" t="s">
        <v>4492</v>
      </c>
      <c r="B28" s="167" t="s">
        <v>404</v>
      </c>
      <c r="C28" s="331">
        <v>17</v>
      </c>
      <c r="D28" s="218">
        <v>0</v>
      </c>
      <c r="E28" s="168">
        <v>0</v>
      </c>
    </row>
    <row r="29" spans="1:5" ht="14.1" customHeight="1" x14ac:dyDescent="0.25">
      <c r="A29" s="288" t="s">
        <v>1798</v>
      </c>
      <c r="B29" s="167" t="s">
        <v>1799</v>
      </c>
      <c r="C29" s="331">
        <v>18</v>
      </c>
      <c r="D29" s="216">
        <f>D30+D37</f>
        <v>0</v>
      </c>
      <c r="E29" s="169">
        <f>E30+E37</f>
        <v>0</v>
      </c>
    </row>
    <row r="30" spans="1:5" ht="14.1" customHeight="1" x14ac:dyDescent="0.25">
      <c r="A30" s="288" t="s">
        <v>4492</v>
      </c>
      <c r="B30" s="167" t="s">
        <v>1800</v>
      </c>
      <c r="C30" s="331">
        <v>19</v>
      </c>
      <c r="D30" s="216">
        <f>SUM(D31:D36)</f>
        <v>0</v>
      </c>
      <c r="E30" s="169">
        <f>SUM(E31:E36)</f>
        <v>0</v>
      </c>
    </row>
    <row r="31" spans="1:5" ht="14.1" customHeight="1" x14ac:dyDescent="0.25">
      <c r="A31" s="288" t="s">
        <v>4492</v>
      </c>
      <c r="B31" s="167" t="s">
        <v>16</v>
      </c>
      <c r="C31" s="331">
        <v>20</v>
      </c>
      <c r="D31" s="218">
        <v>0</v>
      </c>
      <c r="E31" s="168">
        <v>0</v>
      </c>
    </row>
    <row r="32" spans="1:5" ht="14.1" customHeight="1" x14ac:dyDescent="0.25">
      <c r="A32" s="288" t="s">
        <v>4492</v>
      </c>
      <c r="B32" s="167" t="s">
        <v>1790</v>
      </c>
      <c r="C32" s="331">
        <v>21</v>
      </c>
      <c r="D32" s="218">
        <v>0</v>
      </c>
      <c r="E32" s="168">
        <v>0</v>
      </c>
    </row>
    <row r="33" spans="1:5" ht="14.1" customHeight="1" x14ac:dyDescent="0.25">
      <c r="A33" s="288" t="s">
        <v>4492</v>
      </c>
      <c r="B33" s="167" t="s">
        <v>4331</v>
      </c>
      <c r="C33" s="331">
        <v>22</v>
      </c>
      <c r="D33" s="218">
        <v>0</v>
      </c>
      <c r="E33" s="168">
        <v>0</v>
      </c>
    </row>
    <row r="34" spans="1:5" ht="14.1" customHeight="1" x14ac:dyDescent="0.25">
      <c r="A34" s="288" t="s">
        <v>4492</v>
      </c>
      <c r="B34" s="167" t="s">
        <v>1791</v>
      </c>
      <c r="C34" s="331">
        <v>23</v>
      </c>
      <c r="D34" s="218">
        <v>0</v>
      </c>
      <c r="E34" s="168">
        <v>0</v>
      </c>
    </row>
    <row r="35" spans="1:5" ht="14.1" customHeight="1" x14ac:dyDescent="0.25">
      <c r="A35" s="288" t="s">
        <v>4492</v>
      </c>
      <c r="B35" s="167" t="s">
        <v>969</v>
      </c>
      <c r="C35" s="331">
        <v>24</v>
      </c>
      <c r="D35" s="218">
        <v>0</v>
      </c>
      <c r="E35" s="168">
        <v>0</v>
      </c>
    </row>
    <row r="36" spans="1:5" ht="14.1" customHeight="1" x14ac:dyDescent="0.25">
      <c r="A36" s="288" t="s">
        <v>4492</v>
      </c>
      <c r="B36" s="167" t="s">
        <v>1792</v>
      </c>
      <c r="C36" s="331">
        <v>25</v>
      </c>
      <c r="D36" s="218">
        <v>0</v>
      </c>
      <c r="E36" s="168">
        <v>0</v>
      </c>
    </row>
    <row r="37" spans="1:5" ht="14.1" customHeight="1" x14ac:dyDescent="0.25">
      <c r="A37" s="288" t="s">
        <v>4492</v>
      </c>
      <c r="B37" s="167" t="s">
        <v>1801</v>
      </c>
      <c r="C37" s="331">
        <v>26</v>
      </c>
      <c r="D37" s="216">
        <f>SUM(D38:D44)</f>
        <v>0</v>
      </c>
      <c r="E37" s="169">
        <f>SUM(E38:E44)</f>
        <v>0</v>
      </c>
    </row>
    <row r="38" spans="1:5" ht="14.1" customHeight="1" x14ac:dyDescent="0.25">
      <c r="A38" s="288" t="s">
        <v>4492</v>
      </c>
      <c r="B38" s="167" t="s">
        <v>1794</v>
      </c>
      <c r="C38" s="331">
        <v>27</v>
      </c>
      <c r="D38" s="218">
        <v>0</v>
      </c>
      <c r="E38" s="168">
        <v>0</v>
      </c>
    </row>
    <row r="39" spans="1:5" ht="14.1" customHeight="1" x14ac:dyDescent="0.25">
      <c r="A39" s="288" t="s">
        <v>4492</v>
      </c>
      <c r="B39" s="167" t="s">
        <v>2750</v>
      </c>
      <c r="C39" s="331">
        <v>28</v>
      </c>
      <c r="D39" s="218">
        <v>0</v>
      </c>
      <c r="E39" s="168">
        <v>0</v>
      </c>
    </row>
    <row r="40" spans="1:5" ht="14.1" customHeight="1" x14ac:dyDescent="0.25">
      <c r="A40" s="288" t="s">
        <v>4492</v>
      </c>
      <c r="B40" s="167" t="s">
        <v>970</v>
      </c>
      <c r="C40" s="331">
        <v>29</v>
      </c>
      <c r="D40" s="218">
        <v>0</v>
      </c>
      <c r="E40" s="168">
        <v>0</v>
      </c>
    </row>
    <row r="41" spans="1:5" ht="14.1" customHeight="1" x14ac:dyDescent="0.25">
      <c r="A41" s="288" t="s">
        <v>4492</v>
      </c>
      <c r="B41" s="167" t="s">
        <v>1795</v>
      </c>
      <c r="C41" s="331">
        <v>30</v>
      </c>
      <c r="D41" s="218">
        <v>0</v>
      </c>
      <c r="E41" s="168">
        <v>0</v>
      </c>
    </row>
    <row r="42" spans="1:5" ht="14.1" customHeight="1" x14ac:dyDescent="0.25">
      <c r="A42" s="288" t="s">
        <v>4492</v>
      </c>
      <c r="B42" s="167" t="s">
        <v>1796</v>
      </c>
      <c r="C42" s="331">
        <v>31</v>
      </c>
      <c r="D42" s="218">
        <v>0</v>
      </c>
      <c r="E42" s="168">
        <v>0</v>
      </c>
    </row>
    <row r="43" spans="1:5" ht="14.1" customHeight="1" x14ac:dyDescent="0.25">
      <c r="A43" s="288" t="s">
        <v>4492</v>
      </c>
      <c r="B43" s="167" t="s">
        <v>1797</v>
      </c>
      <c r="C43" s="331">
        <v>32</v>
      </c>
      <c r="D43" s="218">
        <v>0</v>
      </c>
      <c r="E43" s="168">
        <v>0</v>
      </c>
    </row>
    <row r="44" spans="1:5" ht="14.1" customHeight="1" x14ac:dyDescent="0.25">
      <c r="A44" s="288" t="s">
        <v>4492</v>
      </c>
      <c r="B44" s="167" t="s">
        <v>404</v>
      </c>
      <c r="C44" s="331">
        <v>33</v>
      </c>
      <c r="D44" s="218">
        <v>0</v>
      </c>
      <c r="E44" s="168">
        <v>0</v>
      </c>
    </row>
    <row r="45" spans="1:5" ht="14.1" customHeight="1" x14ac:dyDescent="0.25">
      <c r="A45" s="288" t="s">
        <v>1802</v>
      </c>
      <c r="B45" s="167" t="s">
        <v>1803</v>
      </c>
      <c r="C45" s="331">
        <v>34</v>
      </c>
      <c r="D45" s="216">
        <f>D46+D51</f>
        <v>0</v>
      </c>
      <c r="E45" s="169">
        <f>E46+E51</f>
        <v>0</v>
      </c>
    </row>
    <row r="46" spans="1:5" ht="14.1" customHeight="1" x14ac:dyDescent="0.25">
      <c r="A46" s="288" t="s">
        <v>1804</v>
      </c>
      <c r="B46" s="167" t="s">
        <v>1805</v>
      </c>
      <c r="C46" s="331">
        <v>35</v>
      </c>
      <c r="D46" s="216">
        <f>SUM(D47:D50)</f>
        <v>0</v>
      </c>
      <c r="E46" s="169">
        <f>SUM(E47:E50)</f>
        <v>0</v>
      </c>
    </row>
    <row r="47" spans="1:5" ht="14.1" customHeight="1" x14ac:dyDescent="0.25">
      <c r="A47" s="288" t="s">
        <v>4492</v>
      </c>
      <c r="B47" s="167" t="s">
        <v>2505</v>
      </c>
      <c r="C47" s="331">
        <v>36</v>
      </c>
      <c r="D47" s="218">
        <v>0</v>
      </c>
      <c r="E47" s="168">
        <v>0</v>
      </c>
    </row>
    <row r="48" spans="1:5" ht="14.1" customHeight="1" x14ac:dyDescent="0.25">
      <c r="A48" s="288" t="s">
        <v>4492</v>
      </c>
      <c r="B48" s="167" t="s">
        <v>2910</v>
      </c>
      <c r="C48" s="331">
        <v>37</v>
      </c>
      <c r="D48" s="218">
        <v>0</v>
      </c>
      <c r="E48" s="168">
        <v>0</v>
      </c>
    </row>
    <row r="49" spans="1:5" ht="14.1" customHeight="1" x14ac:dyDescent="0.25">
      <c r="A49" s="288" t="s">
        <v>4492</v>
      </c>
      <c r="B49" s="167" t="s">
        <v>3150</v>
      </c>
      <c r="C49" s="331">
        <v>38</v>
      </c>
      <c r="D49" s="218">
        <v>0</v>
      </c>
      <c r="E49" s="168">
        <v>0</v>
      </c>
    </row>
    <row r="50" spans="1:5" ht="14.1" customHeight="1" x14ac:dyDescent="0.25">
      <c r="A50" s="288" t="s">
        <v>4492</v>
      </c>
      <c r="B50" s="167" t="s">
        <v>971</v>
      </c>
      <c r="C50" s="331">
        <v>39</v>
      </c>
      <c r="D50" s="218">
        <v>0</v>
      </c>
      <c r="E50" s="168">
        <v>0</v>
      </c>
    </row>
    <row r="51" spans="1:5" ht="14.1" customHeight="1" x14ac:dyDescent="0.25">
      <c r="A51" s="288" t="s">
        <v>3151</v>
      </c>
      <c r="B51" s="167" t="s">
        <v>4371</v>
      </c>
      <c r="C51" s="331">
        <v>40</v>
      </c>
      <c r="D51" s="216">
        <f>SUM(D52:D55)</f>
        <v>0</v>
      </c>
      <c r="E51" s="169">
        <f>SUM(E52:E55)</f>
        <v>0</v>
      </c>
    </row>
    <row r="52" spans="1:5" ht="14.1" customHeight="1" x14ac:dyDescent="0.25">
      <c r="A52" s="288" t="s">
        <v>4492</v>
      </c>
      <c r="B52" s="167" t="s">
        <v>2505</v>
      </c>
      <c r="C52" s="331">
        <v>41</v>
      </c>
      <c r="D52" s="218">
        <v>0</v>
      </c>
      <c r="E52" s="168">
        <v>0</v>
      </c>
    </row>
    <row r="53" spans="1:5" ht="14.1" customHeight="1" x14ac:dyDescent="0.25">
      <c r="A53" s="288" t="s">
        <v>4492</v>
      </c>
      <c r="B53" s="167" t="s">
        <v>2910</v>
      </c>
      <c r="C53" s="331">
        <v>42</v>
      </c>
      <c r="D53" s="218">
        <v>0</v>
      </c>
      <c r="E53" s="168">
        <v>0</v>
      </c>
    </row>
    <row r="54" spans="1:5" ht="14.1" customHeight="1" x14ac:dyDescent="0.25">
      <c r="A54" s="288" t="s">
        <v>4492</v>
      </c>
      <c r="B54" s="167" t="s">
        <v>3150</v>
      </c>
      <c r="C54" s="331">
        <v>43</v>
      </c>
      <c r="D54" s="218">
        <v>0</v>
      </c>
      <c r="E54" s="168">
        <v>0</v>
      </c>
    </row>
    <row r="55" spans="1:5" ht="14.1" customHeight="1" x14ac:dyDescent="0.25">
      <c r="A55" s="289" t="s">
        <v>4372</v>
      </c>
      <c r="B55" s="290" t="s">
        <v>971</v>
      </c>
      <c r="C55" s="332">
        <v>44</v>
      </c>
      <c r="D55" s="222">
        <v>0</v>
      </c>
      <c r="E55" s="257">
        <v>0</v>
      </c>
    </row>
    <row r="56" spans="1:5" ht="6.75" customHeight="1" x14ac:dyDescent="0.25"/>
  </sheetData>
  <sheetProtection password="C79A" sheet="1" objects="1" scenarios="1"/>
  <mergeCells count="9">
    <mergeCell ref="B5:F5"/>
    <mergeCell ref="B6:F6"/>
    <mergeCell ref="B7:F7"/>
    <mergeCell ref="A1:B1"/>
    <mergeCell ref="D2:E2"/>
    <mergeCell ref="A2:C2"/>
    <mergeCell ref="A3:C3"/>
    <mergeCell ref="C1:E1"/>
    <mergeCell ref="B4:F4"/>
  </mergeCells>
  <phoneticPr fontId="10" type="noConversion"/>
  <conditionalFormatting sqref="C9:D9">
    <cfRule type="cellIs" dxfId="8" priority="1" stopIfTrue="1" operator="equal">
      <formula>"Obrazac ima još nezadovoljenih kontrola, provjerite list Kontrole"</formula>
    </cfRule>
  </conditionalFormatting>
  <conditionalFormatting sqref="D12:E14 D21:E21 D29:E30 D37:E37 D45:E46 D51:E51">
    <cfRule type="cellIs" dxfId="7" priority="2"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5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85" orientation="portrait" r:id="rId1"/>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F290"/>
  <sheetViews>
    <sheetView showGridLines="0" showRowColHeaders="0" workbookViewId="0">
      <selection activeCell="C1" sqref="C1:F1"/>
    </sheetView>
  </sheetViews>
  <sheetFormatPr defaultColWidth="0" defaultRowHeight="13.2" zeroHeight="1" x14ac:dyDescent="0.25"/>
  <cols>
    <col min="1" max="1" width="7.6640625" style="4" customWidth="1"/>
    <col min="2" max="2" width="70.6640625" style="4" customWidth="1"/>
    <col min="3" max="3" width="4.6640625" style="4" customWidth="1"/>
    <col min="4" max="5" width="15.6640625" style="4" customWidth="1"/>
    <col min="6" max="6" width="6.6640625" style="4" customWidth="1"/>
    <col min="7" max="7" width="0.88671875" style="4" customWidth="1"/>
    <col min="8" max="16384" width="0" style="4" hidden="1"/>
  </cols>
  <sheetData>
    <row r="1" spans="1:6" s="1" customFormat="1" ht="20.100000000000001" customHeight="1" thickBot="1" x14ac:dyDescent="0.3">
      <c r="A1" s="576" t="s">
        <v>4155</v>
      </c>
      <c r="B1" s="577"/>
      <c r="C1" s="578" t="s">
        <v>285</v>
      </c>
      <c r="D1" s="579"/>
      <c r="E1" s="579"/>
      <c r="F1" s="579"/>
    </row>
    <row r="2" spans="1:6" ht="39.9" customHeight="1" thickBot="1" x14ac:dyDescent="0.3">
      <c r="A2" s="567" t="s">
        <v>3577</v>
      </c>
      <c r="B2" s="567"/>
      <c r="C2" s="567"/>
      <c r="D2" s="568"/>
      <c r="E2" s="580" t="s">
        <v>3711</v>
      </c>
      <c r="F2" s="581"/>
    </row>
    <row r="3" spans="1:6" s="3" customFormat="1" ht="30" customHeight="1" x14ac:dyDescent="0.25">
      <c r="A3" s="575" t="str">
        <f>IF(RefStr!F6&lt;&gt;"",LOOKUP(RefStr!F6,RefStr!N40:N64,RefStr!R40:R64)," - prije popunjavanja obrasca izaberite razdoblje -")</f>
        <v>stanje na dan 31. prosinca 2014. godine</v>
      </c>
      <c r="B3" s="575"/>
      <c r="C3" s="575"/>
      <c r="D3" s="575"/>
      <c r="E3" s="4"/>
      <c r="F3" s="4"/>
    </row>
    <row r="4" spans="1:6" ht="15" customHeight="1" x14ac:dyDescent="0.25">
      <c r="A4" s="59" t="s">
        <v>3293</v>
      </c>
      <c r="B4" s="528" t="str">
        <f xml:space="preserve"> "RKP: " &amp; TEXT(INT(VALUE(RefStr!B6)),"00000") &amp; ",  " &amp; "MB: " &amp; TEXT(INT(VALUE(RefStr!B8)), "00000000") &amp; "  " &amp; RefStr!B10</f>
        <v>RKP: 281186,  MB: 02745658  OPĆINA SOKOLOVAC</v>
      </c>
      <c r="C4" s="529"/>
      <c r="D4" s="529"/>
      <c r="E4" s="529"/>
      <c r="F4" s="529"/>
    </row>
    <row r="5" spans="1:6" ht="15" customHeight="1" x14ac:dyDescent="0.25">
      <c r="A5" s="62"/>
      <c r="B5" s="528" t="str">
        <f>RefStr!B12 &amp; " " &amp; RefStr!C12 &amp; ", " &amp; RefStr!B14</f>
        <v>48306 Sokolovac, Trg dr. Bardeka 8</v>
      </c>
      <c r="C5" s="529"/>
      <c r="D5" s="529"/>
      <c r="E5" s="529"/>
      <c r="F5" s="529"/>
    </row>
    <row r="6" spans="1:6" ht="15" customHeight="1" x14ac:dyDescent="0.25">
      <c r="A6" s="63"/>
      <c r="B6" s="530" t="str">
        <f xml:space="preserve"> "Razina: " &amp; RefStr!B16 &amp; ", Razdjel: " &amp; TEXT(INT(VALUE(RefStr!B20)), "000")</f>
        <v>Razina: 22, Razdjel: 000</v>
      </c>
      <c r="C6" s="531"/>
      <c r="D6" s="531"/>
      <c r="E6" s="531"/>
      <c r="F6" s="531"/>
    </row>
    <row r="7" spans="1:6" ht="15" customHeight="1" x14ac:dyDescent="0.25">
      <c r="A7" s="63"/>
      <c r="B7" s="530" t="str">
        <f>"Djelatnost: " &amp; RefStr!B18 &amp; " " &amp; RefStr!C18</f>
        <v>Djelatnost: 8411 Opće djelatnosti javne uprave</v>
      </c>
      <c r="C7" s="531"/>
      <c r="D7" s="531"/>
      <c r="E7" s="531"/>
      <c r="F7" s="531"/>
    </row>
    <row r="8" spans="1:6" ht="12.9" customHeight="1" x14ac:dyDescent="0.25"/>
    <row r="9" spans="1:6" ht="12.9" customHeight="1" x14ac:dyDescent="0.25">
      <c r="A9" s="29"/>
      <c r="B9" s="5"/>
      <c r="C9" s="29"/>
      <c r="D9" s="30"/>
      <c r="E9" s="5"/>
      <c r="F9" s="12" t="s">
        <v>286</v>
      </c>
    </row>
    <row r="10" spans="1:6" ht="39" customHeight="1" x14ac:dyDescent="0.25">
      <c r="A10" s="19" t="s">
        <v>4069</v>
      </c>
      <c r="B10" s="20" t="s">
        <v>4502</v>
      </c>
      <c r="C10" s="21" t="s">
        <v>4501</v>
      </c>
      <c r="D10" s="20" t="s">
        <v>1093</v>
      </c>
      <c r="E10" s="19" t="s">
        <v>1094</v>
      </c>
      <c r="F10" s="19" t="s">
        <v>3574</v>
      </c>
    </row>
    <row r="11" spans="1:6" ht="12" customHeight="1" x14ac:dyDescent="0.25">
      <c r="A11" s="99">
        <v>1</v>
      </c>
      <c r="B11" s="100">
        <v>2</v>
      </c>
      <c r="C11" s="100">
        <v>3</v>
      </c>
      <c r="D11" s="100">
        <v>4</v>
      </c>
      <c r="E11" s="99">
        <v>5</v>
      </c>
      <c r="F11" s="99">
        <v>6</v>
      </c>
    </row>
    <row r="12" spans="1:6" ht="14.1" customHeight="1" x14ac:dyDescent="0.25">
      <c r="A12" s="338"/>
      <c r="B12" s="339" t="s">
        <v>1095</v>
      </c>
      <c r="C12" s="340">
        <v>1</v>
      </c>
      <c r="D12" s="347">
        <f>D13+D72</f>
        <v>9542508</v>
      </c>
      <c r="E12" s="347">
        <f>E13+E72</f>
        <v>9329559</v>
      </c>
      <c r="F12" s="341">
        <f>IF(D12&gt;0,IF(E12/D12&gt;=100,"&gt;&gt;100",E12/D12*100),"-")</f>
        <v>97.768416856449065</v>
      </c>
    </row>
    <row r="13" spans="1:6" ht="14.1" customHeight="1" x14ac:dyDescent="0.25">
      <c r="A13" s="264">
        <v>0</v>
      </c>
      <c r="B13" s="265" t="s">
        <v>1096</v>
      </c>
      <c r="C13" s="266">
        <v>2</v>
      </c>
      <c r="D13" s="273">
        <f>D14+D18+D56+D57+D61+D68</f>
        <v>8713873</v>
      </c>
      <c r="E13" s="273">
        <f>E14+E18+E56+E57+E61+E68</f>
        <v>8464716</v>
      </c>
      <c r="F13" s="268">
        <f t="shared" ref="F13:F76" si="0">IF(D13&gt;0,IF(E13/D13&gt;=100,"&gt;&gt;100",E13/D13*100),"-")</f>
        <v>97.140685892484314</v>
      </c>
    </row>
    <row r="14" spans="1:6" ht="14.1" customHeight="1" x14ac:dyDescent="0.25">
      <c r="A14" s="264" t="s">
        <v>1097</v>
      </c>
      <c r="B14" s="265" t="s">
        <v>1545</v>
      </c>
      <c r="C14" s="266">
        <v>3</v>
      </c>
      <c r="D14" s="273">
        <f>D15+D16-D17</f>
        <v>2581907</v>
      </c>
      <c r="E14" s="273">
        <f>E15+E16-E17</f>
        <v>2594038</v>
      </c>
      <c r="F14" s="268">
        <f t="shared" si="0"/>
        <v>100.46984651267454</v>
      </c>
    </row>
    <row r="15" spans="1:6" ht="14.1" customHeight="1" x14ac:dyDescent="0.25">
      <c r="A15" s="264" t="s">
        <v>1546</v>
      </c>
      <c r="B15" s="265" t="s">
        <v>1547</v>
      </c>
      <c r="C15" s="266">
        <v>4</v>
      </c>
      <c r="D15" s="267">
        <v>133817</v>
      </c>
      <c r="E15" s="267">
        <v>133817</v>
      </c>
      <c r="F15" s="268">
        <f t="shared" si="0"/>
        <v>100</v>
      </c>
    </row>
    <row r="16" spans="1:6" ht="14.1" customHeight="1" x14ac:dyDescent="0.25">
      <c r="A16" s="264" t="s">
        <v>1548</v>
      </c>
      <c r="B16" s="265" t="s">
        <v>3098</v>
      </c>
      <c r="C16" s="266">
        <v>5</v>
      </c>
      <c r="D16" s="267">
        <v>2483012</v>
      </c>
      <c r="E16" s="267">
        <v>2501762</v>
      </c>
      <c r="F16" s="268">
        <f t="shared" si="0"/>
        <v>100.75513126799227</v>
      </c>
    </row>
    <row r="17" spans="1:6" ht="14.1" customHeight="1" x14ac:dyDescent="0.25">
      <c r="A17" s="264" t="s">
        <v>3099</v>
      </c>
      <c r="B17" s="265" t="s">
        <v>3100</v>
      </c>
      <c r="C17" s="266">
        <v>6</v>
      </c>
      <c r="D17" s="267">
        <v>34922</v>
      </c>
      <c r="E17" s="267">
        <v>41541</v>
      </c>
      <c r="F17" s="268">
        <f t="shared" si="0"/>
        <v>118.95366817478954</v>
      </c>
    </row>
    <row r="18" spans="1:6" ht="14.1" customHeight="1" x14ac:dyDescent="0.25">
      <c r="A18" s="264" t="s">
        <v>3101</v>
      </c>
      <c r="B18" s="265" t="s">
        <v>3102</v>
      </c>
      <c r="C18" s="266">
        <v>7</v>
      </c>
      <c r="D18" s="273">
        <f>D19+D25+D34+D40+D46+D50</f>
        <v>5662936</v>
      </c>
      <c r="E18" s="273">
        <f>E19+E25+E34+E40+E46+E50</f>
        <v>5401648</v>
      </c>
      <c r="F18" s="268">
        <f t="shared" si="0"/>
        <v>95.385997652101324</v>
      </c>
    </row>
    <row r="19" spans="1:6" ht="14.1" customHeight="1" x14ac:dyDescent="0.25">
      <c r="A19" s="342" t="s">
        <v>3103</v>
      </c>
      <c r="B19" s="265" t="s">
        <v>1824</v>
      </c>
      <c r="C19" s="266">
        <v>8</v>
      </c>
      <c r="D19" s="273">
        <f>SUM(D20:D23)-D24</f>
        <v>5553152</v>
      </c>
      <c r="E19" s="273">
        <f>SUM(E20:E23)-E24</f>
        <v>5295818</v>
      </c>
      <c r="F19" s="268">
        <f t="shared" si="0"/>
        <v>95.365983138945225</v>
      </c>
    </row>
    <row r="20" spans="1:6" ht="14.1" customHeight="1" x14ac:dyDescent="0.25">
      <c r="A20" s="264" t="s">
        <v>3104</v>
      </c>
      <c r="B20" s="265" t="s">
        <v>2386</v>
      </c>
      <c r="C20" s="266">
        <v>9</v>
      </c>
      <c r="D20" s="267">
        <v>0</v>
      </c>
      <c r="E20" s="267">
        <v>0</v>
      </c>
      <c r="F20" s="268" t="str">
        <f t="shared" si="0"/>
        <v>-</v>
      </c>
    </row>
    <row r="21" spans="1:6" ht="14.1" customHeight="1" x14ac:dyDescent="0.25">
      <c r="A21" s="264" t="s">
        <v>3105</v>
      </c>
      <c r="B21" s="265" t="s">
        <v>2387</v>
      </c>
      <c r="C21" s="266">
        <v>10</v>
      </c>
      <c r="D21" s="267">
        <v>2235485</v>
      </c>
      <c r="E21" s="267">
        <v>2235485</v>
      </c>
      <c r="F21" s="268">
        <f t="shared" si="0"/>
        <v>100</v>
      </c>
    </row>
    <row r="22" spans="1:6" ht="14.1" customHeight="1" x14ac:dyDescent="0.25">
      <c r="A22" s="264" t="s">
        <v>3106</v>
      </c>
      <c r="B22" s="265" t="s">
        <v>107</v>
      </c>
      <c r="C22" s="266">
        <v>11</v>
      </c>
      <c r="D22" s="267">
        <v>5650799</v>
      </c>
      <c r="E22" s="267">
        <v>5650799</v>
      </c>
      <c r="F22" s="268">
        <f t="shared" si="0"/>
        <v>100</v>
      </c>
    </row>
    <row r="23" spans="1:6" ht="14.1" customHeight="1" x14ac:dyDescent="0.25">
      <c r="A23" s="264" t="s">
        <v>3107</v>
      </c>
      <c r="B23" s="265" t="s">
        <v>2388</v>
      </c>
      <c r="C23" s="266">
        <v>12</v>
      </c>
      <c r="D23" s="267">
        <v>403202</v>
      </c>
      <c r="E23" s="267">
        <v>403203</v>
      </c>
      <c r="F23" s="268">
        <f t="shared" si="0"/>
        <v>100.00024801464278</v>
      </c>
    </row>
    <row r="24" spans="1:6" ht="14.1" customHeight="1" x14ac:dyDescent="0.25">
      <c r="A24" s="264" t="s">
        <v>3108</v>
      </c>
      <c r="B24" s="265" t="s">
        <v>3109</v>
      </c>
      <c r="C24" s="266">
        <v>13</v>
      </c>
      <c r="D24" s="267">
        <v>2736334</v>
      </c>
      <c r="E24" s="267">
        <v>2993669</v>
      </c>
      <c r="F24" s="268">
        <f t="shared" si="0"/>
        <v>109.40437095763895</v>
      </c>
    </row>
    <row r="25" spans="1:6" ht="14.1" customHeight="1" x14ac:dyDescent="0.25">
      <c r="A25" s="342" t="s">
        <v>3110</v>
      </c>
      <c r="B25" s="265" t="s">
        <v>1825</v>
      </c>
      <c r="C25" s="266">
        <v>14</v>
      </c>
      <c r="D25" s="273">
        <f>SUM(D26:D32)-D33</f>
        <v>30132</v>
      </c>
      <c r="E25" s="273">
        <f>SUM(E26:E32)-E33</f>
        <v>26178</v>
      </c>
      <c r="F25" s="268">
        <f t="shared" si="0"/>
        <v>86.877737953006772</v>
      </c>
    </row>
    <row r="26" spans="1:6" ht="14.1" customHeight="1" x14ac:dyDescent="0.25">
      <c r="A26" s="264" t="s">
        <v>3111</v>
      </c>
      <c r="B26" s="265" t="s">
        <v>1846</v>
      </c>
      <c r="C26" s="266">
        <v>15</v>
      </c>
      <c r="D26" s="267">
        <v>169281</v>
      </c>
      <c r="E26" s="267">
        <v>161226</v>
      </c>
      <c r="F26" s="268">
        <f t="shared" si="0"/>
        <v>95.241639640597583</v>
      </c>
    </row>
    <row r="27" spans="1:6" ht="14.1" customHeight="1" x14ac:dyDescent="0.25">
      <c r="A27" s="264" t="s">
        <v>3112</v>
      </c>
      <c r="B27" s="265" t="s">
        <v>4470</v>
      </c>
      <c r="C27" s="266">
        <v>16</v>
      </c>
      <c r="D27" s="267">
        <v>0</v>
      </c>
      <c r="E27" s="267">
        <v>0</v>
      </c>
      <c r="F27" s="268" t="str">
        <f t="shared" si="0"/>
        <v>-</v>
      </c>
    </row>
    <row r="28" spans="1:6" ht="14.1" customHeight="1" x14ac:dyDescent="0.25">
      <c r="A28" s="264" t="s">
        <v>3113</v>
      </c>
      <c r="B28" s="265" t="s">
        <v>1848</v>
      </c>
      <c r="C28" s="266">
        <v>17</v>
      </c>
      <c r="D28" s="267">
        <v>57344</v>
      </c>
      <c r="E28" s="267">
        <v>59143</v>
      </c>
      <c r="F28" s="268">
        <f t="shared" si="0"/>
        <v>103.13720703125</v>
      </c>
    </row>
    <row r="29" spans="1:6" ht="14.1" customHeight="1" x14ac:dyDescent="0.25">
      <c r="A29" s="264" t="s">
        <v>3114</v>
      </c>
      <c r="B29" s="265" t="s">
        <v>1849</v>
      </c>
      <c r="C29" s="266">
        <v>18</v>
      </c>
      <c r="D29" s="267">
        <v>0</v>
      </c>
      <c r="E29" s="267">
        <v>0</v>
      </c>
      <c r="F29" s="268" t="str">
        <f t="shared" si="0"/>
        <v>-</v>
      </c>
    </row>
    <row r="30" spans="1:6" ht="14.1" customHeight="1" x14ac:dyDescent="0.25">
      <c r="A30" s="264" t="s">
        <v>3115</v>
      </c>
      <c r="B30" s="265" t="s">
        <v>3116</v>
      </c>
      <c r="C30" s="266">
        <v>19</v>
      </c>
      <c r="D30" s="267">
        <v>0</v>
      </c>
      <c r="E30" s="267">
        <v>0</v>
      </c>
      <c r="F30" s="268" t="str">
        <f t="shared" si="0"/>
        <v>-</v>
      </c>
    </row>
    <row r="31" spans="1:6" ht="14.1" customHeight="1" x14ac:dyDescent="0.25">
      <c r="A31" s="264" t="s">
        <v>3117</v>
      </c>
      <c r="B31" s="265" t="s">
        <v>1851</v>
      </c>
      <c r="C31" s="266">
        <v>20</v>
      </c>
      <c r="D31" s="267">
        <v>7463</v>
      </c>
      <c r="E31" s="267">
        <v>7463</v>
      </c>
      <c r="F31" s="268">
        <f t="shared" si="0"/>
        <v>100</v>
      </c>
    </row>
    <row r="32" spans="1:6" ht="14.1" customHeight="1" x14ac:dyDescent="0.25">
      <c r="A32" s="264" t="s">
        <v>3118</v>
      </c>
      <c r="B32" s="265" t="s">
        <v>1852</v>
      </c>
      <c r="C32" s="266">
        <v>21</v>
      </c>
      <c r="D32" s="267">
        <v>39278</v>
      </c>
      <c r="E32" s="267">
        <v>45097</v>
      </c>
      <c r="F32" s="268">
        <f t="shared" si="0"/>
        <v>114.81490910942513</v>
      </c>
    </row>
    <row r="33" spans="1:6" ht="14.1" customHeight="1" x14ac:dyDescent="0.25">
      <c r="A33" s="264" t="s">
        <v>3119</v>
      </c>
      <c r="B33" s="265" t="s">
        <v>3120</v>
      </c>
      <c r="C33" s="266">
        <v>22</v>
      </c>
      <c r="D33" s="267">
        <v>243234</v>
      </c>
      <c r="E33" s="267">
        <v>246751</v>
      </c>
      <c r="F33" s="268">
        <f t="shared" si="0"/>
        <v>101.44593272322126</v>
      </c>
    </row>
    <row r="34" spans="1:6" ht="14.1" customHeight="1" x14ac:dyDescent="0.25">
      <c r="A34" s="342" t="s">
        <v>3121</v>
      </c>
      <c r="B34" s="265" t="s">
        <v>1826</v>
      </c>
      <c r="C34" s="266">
        <v>23</v>
      </c>
      <c r="D34" s="273">
        <f>SUM(D35:D38)-D39</f>
        <v>0</v>
      </c>
      <c r="E34" s="273">
        <f>SUM(E35:E38)-E39</f>
        <v>0</v>
      </c>
      <c r="F34" s="268" t="str">
        <f t="shared" si="0"/>
        <v>-</v>
      </c>
    </row>
    <row r="35" spans="1:6" ht="14.1" customHeight="1" x14ac:dyDescent="0.25">
      <c r="A35" s="264" t="s">
        <v>92</v>
      </c>
      <c r="B35" s="265" t="s">
        <v>1853</v>
      </c>
      <c r="C35" s="266">
        <v>24</v>
      </c>
      <c r="D35" s="267">
        <v>0</v>
      </c>
      <c r="E35" s="267">
        <v>0</v>
      </c>
      <c r="F35" s="268" t="str">
        <f t="shared" si="0"/>
        <v>-</v>
      </c>
    </row>
    <row r="36" spans="1:6" ht="14.1" customHeight="1" x14ac:dyDescent="0.25">
      <c r="A36" s="264" t="s">
        <v>93</v>
      </c>
      <c r="B36" s="265" t="s">
        <v>94</v>
      </c>
      <c r="C36" s="266">
        <v>25</v>
      </c>
      <c r="D36" s="267">
        <v>0</v>
      </c>
      <c r="E36" s="267">
        <v>0</v>
      </c>
      <c r="F36" s="268" t="str">
        <f t="shared" si="0"/>
        <v>-</v>
      </c>
    </row>
    <row r="37" spans="1:6" ht="14.1" customHeight="1" x14ac:dyDescent="0.25">
      <c r="A37" s="264" t="s">
        <v>95</v>
      </c>
      <c r="B37" s="265" t="s">
        <v>4464</v>
      </c>
      <c r="C37" s="266">
        <v>26</v>
      </c>
      <c r="D37" s="267">
        <v>0</v>
      </c>
      <c r="E37" s="267">
        <v>0</v>
      </c>
      <c r="F37" s="268" t="str">
        <f t="shared" si="0"/>
        <v>-</v>
      </c>
    </row>
    <row r="38" spans="1:6" ht="14.1" customHeight="1" x14ac:dyDescent="0.25">
      <c r="A38" s="264" t="s">
        <v>96</v>
      </c>
      <c r="B38" s="265" t="s">
        <v>1538</v>
      </c>
      <c r="C38" s="266">
        <v>27</v>
      </c>
      <c r="D38" s="267">
        <v>0</v>
      </c>
      <c r="E38" s="267">
        <v>0</v>
      </c>
      <c r="F38" s="268" t="str">
        <f t="shared" si="0"/>
        <v>-</v>
      </c>
    </row>
    <row r="39" spans="1:6" ht="14.1" customHeight="1" x14ac:dyDescent="0.25">
      <c r="A39" s="264" t="s">
        <v>97</v>
      </c>
      <c r="B39" s="265" t="s">
        <v>98</v>
      </c>
      <c r="C39" s="266">
        <v>28</v>
      </c>
      <c r="D39" s="267">
        <v>0</v>
      </c>
      <c r="E39" s="267">
        <v>0</v>
      </c>
      <c r="F39" s="268" t="str">
        <f t="shared" si="0"/>
        <v>-</v>
      </c>
    </row>
    <row r="40" spans="1:6" ht="14.1" customHeight="1" x14ac:dyDescent="0.25">
      <c r="A40" s="342" t="s">
        <v>99</v>
      </c>
      <c r="B40" s="265" t="s">
        <v>2914</v>
      </c>
      <c r="C40" s="266">
        <v>29</v>
      </c>
      <c r="D40" s="273">
        <f>SUM(D41:D44)-D45</f>
        <v>17763</v>
      </c>
      <c r="E40" s="273">
        <f>SUM(E41:E44)-E45</f>
        <v>17763</v>
      </c>
      <c r="F40" s="268">
        <f t="shared" si="0"/>
        <v>100</v>
      </c>
    </row>
    <row r="41" spans="1:6" ht="14.1" customHeight="1" x14ac:dyDescent="0.25">
      <c r="A41" s="264" t="s">
        <v>100</v>
      </c>
      <c r="B41" s="265" t="s">
        <v>130</v>
      </c>
      <c r="C41" s="266">
        <v>30</v>
      </c>
      <c r="D41" s="267">
        <v>0</v>
      </c>
      <c r="E41" s="267">
        <v>0</v>
      </c>
      <c r="F41" s="268" t="str">
        <f t="shared" si="0"/>
        <v>-</v>
      </c>
    </row>
    <row r="42" spans="1:6" ht="14.1" customHeight="1" x14ac:dyDescent="0.25">
      <c r="A42" s="264" t="s">
        <v>101</v>
      </c>
      <c r="B42" s="265" t="s">
        <v>112</v>
      </c>
      <c r="C42" s="266">
        <v>31</v>
      </c>
      <c r="D42" s="267">
        <v>17763</v>
      </c>
      <c r="E42" s="267">
        <v>17763</v>
      </c>
      <c r="F42" s="268">
        <f t="shared" si="0"/>
        <v>100</v>
      </c>
    </row>
    <row r="43" spans="1:6" ht="14.1" customHeight="1" x14ac:dyDescent="0.25">
      <c r="A43" s="264" t="s">
        <v>102</v>
      </c>
      <c r="B43" s="265" t="s">
        <v>3438</v>
      </c>
      <c r="C43" s="266">
        <v>32</v>
      </c>
      <c r="D43" s="267">
        <v>0</v>
      </c>
      <c r="E43" s="267">
        <v>0</v>
      </c>
      <c r="F43" s="268" t="str">
        <f t="shared" si="0"/>
        <v>-</v>
      </c>
    </row>
    <row r="44" spans="1:6" ht="14.1" customHeight="1" x14ac:dyDescent="0.25">
      <c r="A44" s="264" t="s">
        <v>103</v>
      </c>
      <c r="B44" s="265" t="s">
        <v>3439</v>
      </c>
      <c r="C44" s="266">
        <v>33</v>
      </c>
      <c r="D44" s="267">
        <v>0</v>
      </c>
      <c r="E44" s="267">
        <v>0</v>
      </c>
      <c r="F44" s="268" t="str">
        <f t="shared" si="0"/>
        <v>-</v>
      </c>
    </row>
    <row r="45" spans="1:6" ht="14.1" customHeight="1" x14ac:dyDescent="0.25">
      <c r="A45" s="264" t="s">
        <v>3741</v>
      </c>
      <c r="B45" s="265" t="s">
        <v>2915</v>
      </c>
      <c r="C45" s="266">
        <v>34</v>
      </c>
      <c r="D45" s="267">
        <v>0</v>
      </c>
      <c r="E45" s="267">
        <v>0</v>
      </c>
      <c r="F45" s="268" t="str">
        <f t="shared" si="0"/>
        <v>-</v>
      </c>
    </row>
    <row r="46" spans="1:6" ht="14.1" customHeight="1" x14ac:dyDescent="0.25">
      <c r="A46" s="342" t="s">
        <v>3742</v>
      </c>
      <c r="B46" s="265" t="s">
        <v>1828</v>
      </c>
      <c r="C46" s="266">
        <v>35</v>
      </c>
      <c r="D46" s="273">
        <f>SUM(D47:D48)-D49</f>
        <v>0</v>
      </c>
      <c r="E46" s="273">
        <f>SUM(E47:E48)-E49</f>
        <v>0</v>
      </c>
      <c r="F46" s="268" t="str">
        <f t="shared" si="0"/>
        <v>-</v>
      </c>
    </row>
    <row r="47" spans="1:6" ht="14.1" customHeight="1" x14ac:dyDescent="0.25">
      <c r="A47" s="264" t="s">
        <v>1829</v>
      </c>
      <c r="B47" s="265" t="s">
        <v>3440</v>
      </c>
      <c r="C47" s="266">
        <v>36</v>
      </c>
      <c r="D47" s="267">
        <v>0</v>
      </c>
      <c r="E47" s="267">
        <v>0</v>
      </c>
      <c r="F47" s="268" t="str">
        <f t="shared" si="0"/>
        <v>-</v>
      </c>
    </row>
    <row r="48" spans="1:6" ht="14.1" customHeight="1" x14ac:dyDescent="0.25">
      <c r="A48" s="264" t="s">
        <v>1830</v>
      </c>
      <c r="B48" s="265" t="s">
        <v>1249</v>
      </c>
      <c r="C48" s="266">
        <v>37</v>
      </c>
      <c r="D48" s="267">
        <v>0</v>
      </c>
      <c r="E48" s="267">
        <v>0</v>
      </c>
      <c r="F48" s="268" t="str">
        <f t="shared" si="0"/>
        <v>-</v>
      </c>
    </row>
    <row r="49" spans="1:6" ht="14.1" customHeight="1" x14ac:dyDescent="0.25">
      <c r="A49" s="264" t="s">
        <v>1831</v>
      </c>
      <c r="B49" s="265" t="s">
        <v>86</v>
      </c>
      <c r="C49" s="266">
        <v>38</v>
      </c>
      <c r="D49" s="267">
        <v>0</v>
      </c>
      <c r="E49" s="267">
        <v>0</v>
      </c>
      <c r="F49" s="268" t="str">
        <f t="shared" si="0"/>
        <v>-</v>
      </c>
    </row>
    <row r="50" spans="1:6" ht="14.1" customHeight="1" x14ac:dyDescent="0.25">
      <c r="A50" s="342" t="s">
        <v>87</v>
      </c>
      <c r="B50" s="265" t="s">
        <v>269</v>
      </c>
      <c r="C50" s="266">
        <v>39</v>
      </c>
      <c r="D50" s="273">
        <f>SUM(D51:D54)-D55</f>
        <v>61889</v>
      </c>
      <c r="E50" s="273">
        <f>SUM(E51:E54)-E55</f>
        <v>61889</v>
      </c>
      <c r="F50" s="268">
        <f t="shared" si="0"/>
        <v>100</v>
      </c>
    </row>
    <row r="51" spans="1:6" ht="14.1" customHeight="1" x14ac:dyDescent="0.25">
      <c r="A51" s="264" t="s">
        <v>88</v>
      </c>
      <c r="B51" s="265" t="s">
        <v>115</v>
      </c>
      <c r="C51" s="266">
        <v>40</v>
      </c>
      <c r="D51" s="267">
        <v>0</v>
      </c>
      <c r="E51" s="267">
        <v>0</v>
      </c>
      <c r="F51" s="268" t="str">
        <f t="shared" si="0"/>
        <v>-</v>
      </c>
    </row>
    <row r="52" spans="1:6" ht="14.1" customHeight="1" x14ac:dyDescent="0.25">
      <c r="A52" s="264" t="s">
        <v>4324</v>
      </c>
      <c r="B52" s="265" t="s">
        <v>4325</v>
      </c>
      <c r="C52" s="266">
        <v>41</v>
      </c>
      <c r="D52" s="267">
        <v>0</v>
      </c>
      <c r="E52" s="267">
        <v>0</v>
      </c>
      <c r="F52" s="268" t="str">
        <f t="shared" si="0"/>
        <v>-</v>
      </c>
    </row>
    <row r="53" spans="1:6" ht="14.1" customHeight="1" x14ac:dyDescent="0.25">
      <c r="A53" s="264" t="s">
        <v>4326</v>
      </c>
      <c r="B53" s="265" t="s">
        <v>2129</v>
      </c>
      <c r="C53" s="266">
        <v>42</v>
      </c>
      <c r="D53" s="267">
        <v>0</v>
      </c>
      <c r="E53" s="267">
        <v>0</v>
      </c>
      <c r="F53" s="268" t="str">
        <f t="shared" si="0"/>
        <v>-</v>
      </c>
    </row>
    <row r="54" spans="1:6" ht="14.1" customHeight="1" x14ac:dyDescent="0.25">
      <c r="A54" s="264" t="s">
        <v>4327</v>
      </c>
      <c r="B54" s="265" t="s">
        <v>2130</v>
      </c>
      <c r="C54" s="266">
        <v>43</v>
      </c>
      <c r="D54" s="267">
        <v>61889</v>
      </c>
      <c r="E54" s="267">
        <v>61889</v>
      </c>
      <c r="F54" s="268">
        <f t="shared" si="0"/>
        <v>100</v>
      </c>
    </row>
    <row r="55" spans="1:6" ht="14.1" customHeight="1" x14ac:dyDescent="0.25">
      <c r="A55" s="264" t="s">
        <v>4328</v>
      </c>
      <c r="B55" s="265" t="s">
        <v>4329</v>
      </c>
      <c r="C55" s="266">
        <v>44</v>
      </c>
      <c r="D55" s="267">
        <v>0</v>
      </c>
      <c r="E55" s="267">
        <v>0</v>
      </c>
      <c r="F55" s="268" t="str">
        <f t="shared" si="0"/>
        <v>-</v>
      </c>
    </row>
    <row r="56" spans="1:6" ht="14.1" customHeight="1" x14ac:dyDescent="0.25">
      <c r="A56" s="264" t="s">
        <v>4330</v>
      </c>
      <c r="B56" s="265" t="s">
        <v>4331</v>
      </c>
      <c r="C56" s="266">
        <v>45</v>
      </c>
      <c r="D56" s="267">
        <v>0</v>
      </c>
      <c r="E56" s="267">
        <v>0</v>
      </c>
      <c r="F56" s="268" t="str">
        <f t="shared" si="0"/>
        <v>-</v>
      </c>
    </row>
    <row r="57" spans="1:6" ht="14.1" customHeight="1" x14ac:dyDescent="0.25">
      <c r="A57" s="264" t="s">
        <v>4332</v>
      </c>
      <c r="B57" s="265" t="s">
        <v>4333</v>
      </c>
      <c r="C57" s="266">
        <v>46</v>
      </c>
      <c r="D57" s="273">
        <f>SUM(D58:D59)-D60</f>
        <v>0</v>
      </c>
      <c r="E57" s="273">
        <f>SUM(E58:E59)-E60</f>
        <v>0</v>
      </c>
      <c r="F57" s="268" t="str">
        <f t="shared" si="0"/>
        <v>-</v>
      </c>
    </row>
    <row r="58" spans="1:6" ht="14.1" customHeight="1" x14ac:dyDescent="0.25">
      <c r="A58" s="264" t="s">
        <v>4334</v>
      </c>
      <c r="B58" s="265" t="s">
        <v>4335</v>
      </c>
      <c r="C58" s="266">
        <v>47</v>
      </c>
      <c r="D58" s="267">
        <v>0</v>
      </c>
      <c r="E58" s="267">
        <v>0</v>
      </c>
      <c r="F58" s="268" t="str">
        <f t="shared" si="0"/>
        <v>-</v>
      </c>
    </row>
    <row r="59" spans="1:6" ht="14.1" customHeight="1" x14ac:dyDescent="0.25">
      <c r="A59" s="264" t="s">
        <v>4336</v>
      </c>
      <c r="B59" s="265" t="s">
        <v>2916</v>
      </c>
      <c r="C59" s="266">
        <v>48</v>
      </c>
      <c r="D59" s="267">
        <v>73546</v>
      </c>
      <c r="E59" s="267">
        <v>73705</v>
      </c>
      <c r="F59" s="268">
        <f t="shared" si="0"/>
        <v>100.21619122725913</v>
      </c>
    </row>
    <row r="60" spans="1:6" ht="14.1" customHeight="1" x14ac:dyDescent="0.25">
      <c r="A60" s="264" t="s">
        <v>4337</v>
      </c>
      <c r="B60" s="265" t="s">
        <v>1286</v>
      </c>
      <c r="C60" s="266">
        <v>49</v>
      </c>
      <c r="D60" s="267">
        <v>73546</v>
      </c>
      <c r="E60" s="267">
        <v>73705</v>
      </c>
      <c r="F60" s="268">
        <f t="shared" si="0"/>
        <v>100.21619122725913</v>
      </c>
    </row>
    <row r="61" spans="1:6" ht="14.1" customHeight="1" x14ac:dyDescent="0.25">
      <c r="A61" s="264" t="s">
        <v>1287</v>
      </c>
      <c r="B61" s="265" t="s">
        <v>2917</v>
      </c>
      <c r="C61" s="266">
        <v>50</v>
      </c>
      <c r="D61" s="273">
        <f>SUM(D62:D67)</f>
        <v>469030</v>
      </c>
      <c r="E61" s="273">
        <f>SUM(E62:E67)</f>
        <v>469030</v>
      </c>
      <c r="F61" s="268">
        <f t="shared" si="0"/>
        <v>100</v>
      </c>
    </row>
    <row r="62" spans="1:6" ht="14.1" customHeight="1" x14ac:dyDescent="0.25">
      <c r="A62" s="264" t="s">
        <v>1288</v>
      </c>
      <c r="B62" s="265" t="s">
        <v>1289</v>
      </c>
      <c r="C62" s="266">
        <v>51</v>
      </c>
      <c r="D62" s="267">
        <v>342225</v>
      </c>
      <c r="E62" s="267">
        <v>342225</v>
      </c>
      <c r="F62" s="268">
        <f t="shared" si="0"/>
        <v>100</v>
      </c>
    </row>
    <row r="63" spans="1:6" ht="14.1" customHeight="1" x14ac:dyDescent="0.25">
      <c r="A63" s="264" t="s">
        <v>1290</v>
      </c>
      <c r="B63" s="265" t="s">
        <v>1291</v>
      </c>
      <c r="C63" s="266">
        <v>52</v>
      </c>
      <c r="D63" s="267">
        <v>0</v>
      </c>
      <c r="E63" s="267">
        <v>0</v>
      </c>
      <c r="F63" s="268" t="str">
        <f t="shared" si="0"/>
        <v>-</v>
      </c>
    </row>
    <row r="64" spans="1:6" ht="14.1" customHeight="1" x14ac:dyDescent="0.25">
      <c r="A64" s="264" t="s">
        <v>1292</v>
      </c>
      <c r="B64" s="265" t="s">
        <v>1293</v>
      </c>
      <c r="C64" s="266">
        <v>53</v>
      </c>
      <c r="D64" s="267">
        <v>0</v>
      </c>
      <c r="E64" s="267">
        <v>0</v>
      </c>
      <c r="F64" s="268" t="str">
        <f t="shared" si="0"/>
        <v>-</v>
      </c>
    </row>
    <row r="65" spans="1:6" ht="14.1" customHeight="1" x14ac:dyDescent="0.25">
      <c r="A65" s="264" t="s">
        <v>1294</v>
      </c>
      <c r="B65" s="265" t="s">
        <v>1295</v>
      </c>
      <c r="C65" s="266">
        <v>54</v>
      </c>
      <c r="D65" s="267">
        <v>0</v>
      </c>
      <c r="E65" s="267">
        <v>0</v>
      </c>
      <c r="F65" s="268" t="str">
        <f t="shared" si="0"/>
        <v>-</v>
      </c>
    </row>
    <row r="66" spans="1:6" ht="14.1" customHeight="1" x14ac:dyDescent="0.25">
      <c r="A66" s="264" t="s">
        <v>1296</v>
      </c>
      <c r="B66" s="265" t="s">
        <v>1297</v>
      </c>
      <c r="C66" s="266">
        <v>55</v>
      </c>
      <c r="D66" s="267">
        <v>0</v>
      </c>
      <c r="E66" s="267">
        <v>0</v>
      </c>
      <c r="F66" s="268" t="str">
        <f t="shared" si="0"/>
        <v>-</v>
      </c>
    </row>
    <row r="67" spans="1:6" ht="14.1" customHeight="1" x14ac:dyDescent="0.25">
      <c r="A67" s="264" t="s">
        <v>1298</v>
      </c>
      <c r="B67" s="265" t="s">
        <v>2918</v>
      </c>
      <c r="C67" s="266">
        <v>56</v>
      </c>
      <c r="D67" s="267">
        <v>126805</v>
      </c>
      <c r="E67" s="267">
        <v>126805</v>
      </c>
      <c r="F67" s="268">
        <f t="shared" si="0"/>
        <v>100</v>
      </c>
    </row>
    <row r="68" spans="1:6" ht="14.1" customHeight="1" x14ac:dyDescent="0.25">
      <c r="A68" s="264" t="s">
        <v>1299</v>
      </c>
      <c r="B68" s="265" t="s">
        <v>270</v>
      </c>
      <c r="C68" s="266">
        <v>57</v>
      </c>
      <c r="D68" s="273">
        <f>SUM(D69:D71)</f>
        <v>0</v>
      </c>
      <c r="E68" s="273">
        <f>SUM(E69:E71)</f>
        <v>0</v>
      </c>
      <c r="F68" s="268" t="str">
        <f t="shared" si="0"/>
        <v>-</v>
      </c>
    </row>
    <row r="69" spans="1:6" ht="14.1" customHeight="1" x14ac:dyDescent="0.25">
      <c r="A69" s="264" t="s">
        <v>1300</v>
      </c>
      <c r="B69" s="265" t="s">
        <v>1301</v>
      </c>
      <c r="C69" s="266">
        <v>58</v>
      </c>
      <c r="D69" s="267">
        <v>0</v>
      </c>
      <c r="E69" s="267">
        <v>0</v>
      </c>
      <c r="F69" s="268" t="str">
        <f t="shared" si="0"/>
        <v>-</v>
      </c>
    </row>
    <row r="70" spans="1:6" ht="14.1" customHeight="1" x14ac:dyDescent="0.25">
      <c r="A70" s="264" t="s">
        <v>1302</v>
      </c>
      <c r="B70" s="265" t="s">
        <v>1303</v>
      </c>
      <c r="C70" s="266">
        <v>59</v>
      </c>
      <c r="D70" s="267">
        <v>0</v>
      </c>
      <c r="E70" s="267">
        <v>0</v>
      </c>
      <c r="F70" s="268" t="str">
        <f t="shared" si="0"/>
        <v>-</v>
      </c>
    </row>
    <row r="71" spans="1:6" ht="14.1" customHeight="1" x14ac:dyDescent="0.25">
      <c r="A71" s="264" t="s">
        <v>1304</v>
      </c>
      <c r="B71" s="265" t="s">
        <v>1305</v>
      </c>
      <c r="C71" s="266">
        <v>60</v>
      </c>
      <c r="D71" s="267">
        <v>0</v>
      </c>
      <c r="E71" s="267">
        <v>0</v>
      </c>
      <c r="F71" s="268" t="str">
        <f t="shared" si="0"/>
        <v>-</v>
      </c>
    </row>
    <row r="72" spans="1:6" ht="14.1" customHeight="1" x14ac:dyDescent="0.25">
      <c r="A72" s="264" t="s">
        <v>1306</v>
      </c>
      <c r="B72" s="265" t="s">
        <v>1692</v>
      </c>
      <c r="C72" s="266">
        <v>61</v>
      </c>
      <c r="D72" s="273">
        <f>D73+D78+D84+D115+D131+D143+D153+D154</f>
        <v>828635</v>
      </c>
      <c r="E72" s="273">
        <f>E73+E78+E84+E115+E131+E143+E153+E154</f>
        <v>864843</v>
      </c>
      <c r="F72" s="268">
        <f t="shared" si="0"/>
        <v>104.36959578101335</v>
      </c>
    </row>
    <row r="73" spans="1:6" ht="14.1" customHeight="1" x14ac:dyDescent="0.25">
      <c r="A73" s="264" t="s">
        <v>3650</v>
      </c>
      <c r="B73" s="265" t="s">
        <v>693</v>
      </c>
      <c r="C73" s="266">
        <v>62</v>
      </c>
      <c r="D73" s="273">
        <f>SUM(D74:D77)</f>
        <v>476121</v>
      </c>
      <c r="E73" s="273">
        <f>SUM(E74:E77)</f>
        <v>437787</v>
      </c>
      <c r="F73" s="268">
        <f t="shared" si="0"/>
        <v>91.948685313187198</v>
      </c>
    </row>
    <row r="74" spans="1:6" ht="14.1" customHeight="1" x14ac:dyDescent="0.25">
      <c r="A74" s="264" t="s">
        <v>1307</v>
      </c>
      <c r="B74" s="265" t="s">
        <v>1378</v>
      </c>
      <c r="C74" s="266">
        <v>63</v>
      </c>
      <c r="D74" s="267">
        <v>475791</v>
      </c>
      <c r="E74" s="267">
        <v>437439</v>
      </c>
      <c r="F74" s="268">
        <f t="shared" si="0"/>
        <v>91.939317893781094</v>
      </c>
    </row>
    <row r="75" spans="1:6" ht="14.1" customHeight="1" x14ac:dyDescent="0.25">
      <c r="A75" s="264" t="s">
        <v>1379</v>
      </c>
      <c r="B75" s="265" t="s">
        <v>1380</v>
      </c>
      <c r="C75" s="266">
        <v>64</v>
      </c>
      <c r="D75" s="267">
        <v>0</v>
      </c>
      <c r="E75" s="267">
        <v>0</v>
      </c>
      <c r="F75" s="268" t="str">
        <f t="shared" si="0"/>
        <v>-</v>
      </c>
    </row>
    <row r="76" spans="1:6" ht="14.1" customHeight="1" x14ac:dyDescent="0.25">
      <c r="A76" s="264" t="s">
        <v>1381</v>
      </c>
      <c r="B76" s="265" t="s">
        <v>1382</v>
      </c>
      <c r="C76" s="266">
        <v>65</v>
      </c>
      <c r="D76" s="267">
        <v>330</v>
      </c>
      <c r="E76" s="267">
        <v>348</v>
      </c>
      <c r="F76" s="268">
        <f t="shared" si="0"/>
        <v>105.45454545454544</v>
      </c>
    </row>
    <row r="77" spans="1:6" ht="14.1" customHeight="1" x14ac:dyDescent="0.25">
      <c r="A77" s="264" t="s">
        <v>1383</v>
      </c>
      <c r="B77" s="265" t="s">
        <v>1384</v>
      </c>
      <c r="C77" s="266">
        <v>66</v>
      </c>
      <c r="D77" s="267">
        <v>0</v>
      </c>
      <c r="E77" s="267">
        <v>0</v>
      </c>
      <c r="F77" s="268" t="str">
        <f t="shared" ref="F77:F140" si="1">IF(D77&gt;0,IF(E77/D77&gt;=100,"&gt;&gt;100",E77/D77*100),"-")</f>
        <v>-</v>
      </c>
    </row>
    <row r="78" spans="1:6" ht="24.9" customHeight="1" x14ac:dyDescent="0.25">
      <c r="A78" s="264" t="s">
        <v>1385</v>
      </c>
      <c r="B78" s="265" t="s">
        <v>4292</v>
      </c>
      <c r="C78" s="266">
        <v>67</v>
      </c>
      <c r="D78" s="273">
        <f>SUM(D79:D83)</f>
        <v>781</v>
      </c>
      <c r="E78" s="273">
        <f>SUM(E79:E83)</f>
        <v>781</v>
      </c>
      <c r="F78" s="268">
        <f t="shared" si="1"/>
        <v>100</v>
      </c>
    </row>
    <row r="79" spans="1:6" ht="14.1" customHeight="1" x14ac:dyDescent="0.25">
      <c r="A79" s="264" t="s">
        <v>1386</v>
      </c>
      <c r="B79" s="265" t="s">
        <v>1693</v>
      </c>
      <c r="C79" s="266">
        <v>68</v>
      </c>
      <c r="D79" s="267">
        <v>0</v>
      </c>
      <c r="E79" s="267">
        <v>0</v>
      </c>
      <c r="F79" s="268" t="str">
        <f t="shared" si="1"/>
        <v>-</v>
      </c>
    </row>
    <row r="80" spans="1:6" ht="14.1" customHeight="1" x14ac:dyDescent="0.25">
      <c r="A80" s="264" t="s">
        <v>1387</v>
      </c>
      <c r="B80" s="265" t="s">
        <v>1388</v>
      </c>
      <c r="C80" s="266">
        <v>69</v>
      </c>
      <c r="D80" s="267">
        <v>0</v>
      </c>
      <c r="E80" s="267">
        <v>0</v>
      </c>
      <c r="F80" s="268" t="str">
        <f t="shared" si="1"/>
        <v>-</v>
      </c>
    </row>
    <row r="81" spans="1:6" ht="14.1" customHeight="1" x14ac:dyDescent="0.25">
      <c r="A81" s="264" t="s">
        <v>1389</v>
      </c>
      <c r="B81" s="265" t="s">
        <v>1390</v>
      </c>
      <c r="C81" s="266">
        <v>70</v>
      </c>
      <c r="D81" s="267">
        <v>0</v>
      </c>
      <c r="E81" s="267">
        <v>0</v>
      </c>
      <c r="F81" s="268" t="str">
        <f t="shared" si="1"/>
        <v>-</v>
      </c>
    </row>
    <row r="82" spans="1:6" ht="14.1" customHeight="1" x14ac:dyDescent="0.25">
      <c r="A82" s="264" t="s">
        <v>1391</v>
      </c>
      <c r="B82" s="265" t="s">
        <v>1392</v>
      </c>
      <c r="C82" s="266">
        <v>71</v>
      </c>
      <c r="D82" s="267">
        <v>0</v>
      </c>
      <c r="E82" s="267">
        <v>0</v>
      </c>
      <c r="F82" s="268" t="str">
        <f t="shared" si="1"/>
        <v>-</v>
      </c>
    </row>
    <row r="83" spans="1:6" ht="14.1" customHeight="1" x14ac:dyDescent="0.25">
      <c r="A83" s="264" t="s">
        <v>1393</v>
      </c>
      <c r="B83" s="265" t="s">
        <v>1394</v>
      </c>
      <c r="C83" s="266">
        <v>72</v>
      </c>
      <c r="D83" s="267">
        <v>781</v>
      </c>
      <c r="E83" s="267">
        <v>781</v>
      </c>
      <c r="F83" s="268">
        <f t="shared" si="1"/>
        <v>100</v>
      </c>
    </row>
    <row r="84" spans="1:6" ht="14.1" customHeight="1" x14ac:dyDescent="0.25">
      <c r="A84" s="264" t="s">
        <v>1395</v>
      </c>
      <c r="B84" s="265" t="s">
        <v>1694</v>
      </c>
      <c r="C84" s="266">
        <v>73</v>
      </c>
      <c r="D84" s="273">
        <f>D85+D103-D114</f>
        <v>0</v>
      </c>
      <c r="E84" s="273">
        <f>E85+E103-E114</f>
        <v>0</v>
      </c>
      <c r="F84" s="268" t="str">
        <f t="shared" si="1"/>
        <v>-</v>
      </c>
    </row>
    <row r="85" spans="1:6" ht="14.1" customHeight="1" x14ac:dyDescent="0.25">
      <c r="A85" s="264"/>
      <c r="B85" s="265" t="s">
        <v>1695</v>
      </c>
      <c r="C85" s="266">
        <v>74</v>
      </c>
      <c r="D85" s="273">
        <f>SUM(D86:D102)</f>
        <v>0</v>
      </c>
      <c r="E85" s="273">
        <f>SUM(E86:E102)</f>
        <v>0</v>
      </c>
      <c r="F85" s="268" t="str">
        <f t="shared" si="1"/>
        <v>-</v>
      </c>
    </row>
    <row r="86" spans="1:6" ht="14.1" customHeight="1" x14ac:dyDescent="0.25">
      <c r="A86" s="264" t="s">
        <v>1396</v>
      </c>
      <c r="B86" s="265" t="s">
        <v>1397</v>
      </c>
      <c r="C86" s="266">
        <v>75</v>
      </c>
      <c r="D86" s="267">
        <v>0</v>
      </c>
      <c r="E86" s="267">
        <v>0</v>
      </c>
      <c r="F86" s="268" t="str">
        <f t="shared" si="1"/>
        <v>-</v>
      </c>
    </row>
    <row r="87" spans="1:6" ht="14.1" customHeight="1" x14ac:dyDescent="0.25">
      <c r="A87" s="264" t="s">
        <v>1696</v>
      </c>
      <c r="B87" s="265" t="s">
        <v>1697</v>
      </c>
      <c r="C87" s="266">
        <v>76</v>
      </c>
      <c r="D87" s="267">
        <v>0</v>
      </c>
      <c r="E87" s="267">
        <v>0</v>
      </c>
      <c r="F87" s="268" t="str">
        <f t="shared" si="1"/>
        <v>-</v>
      </c>
    </row>
    <row r="88" spans="1:6" ht="14.1" customHeight="1" x14ac:dyDescent="0.25">
      <c r="A88" s="264" t="s">
        <v>1698</v>
      </c>
      <c r="B88" s="265" t="s">
        <v>1699</v>
      </c>
      <c r="C88" s="266">
        <v>77</v>
      </c>
      <c r="D88" s="267">
        <v>0</v>
      </c>
      <c r="E88" s="267">
        <v>0</v>
      </c>
      <c r="F88" s="268" t="str">
        <f t="shared" si="1"/>
        <v>-</v>
      </c>
    </row>
    <row r="89" spans="1:6" ht="14.1" customHeight="1" x14ac:dyDescent="0.25">
      <c r="A89" s="264" t="s">
        <v>1700</v>
      </c>
      <c r="B89" s="265" t="s">
        <v>1701</v>
      </c>
      <c r="C89" s="266">
        <v>78</v>
      </c>
      <c r="D89" s="267">
        <v>0</v>
      </c>
      <c r="E89" s="267">
        <v>0</v>
      </c>
      <c r="F89" s="268" t="str">
        <f t="shared" si="1"/>
        <v>-</v>
      </c>
    </row>
    <row r="90" spans="1:6" ht="14.1" customHeight="1" x14ac:dyDescent="0.25">
      <c r="A90" s="264" t="s">
        <v>2268</v>
      </c>
      <c r="B90" s="265" t="s">
        <v>2269</v>
      </c>
      <c r="C90" s="266">
        <v>79</v>
      </c>
      <c r="D90" s="267">
        <v>0</v>
      </c>
      <c r="E90" s="267">
        <v>0</v>
      </c>
      <c r="F90" s="268" t="str">
        <f t="shared" si="1"/>
        <v>-</v>
      </c>
    </row>
    <row r="91" spans="1:6" ht="14.1" customHeight="1" x14ac:dyDescent="0.25">
      <c r="A91" s="264" t="s">
        <v>1702</v>
      </c>
      <c r="B91" s="265" t="s">
        <v>1703</v>
      </c>
      <c r="C91" s="266">
        <v>80</v>
      </c>
      <c r="D91" s="267">
        <v>0</v>
      </c>
      <c r="E91" s="267">
        <v>0</v>
      </c>
      <c r="F91" s="268" t="str">
        <f t="shared" si="1"/>
        <v>-</v>
      </c>
    </row>
    <row r="92" spans="1:6" ht="14.1" customHeight="1" x14ac:dyDescent="0.25">
      <c r="A92" s="264" t="s">
        <v>1704</v>
      </c>
      <c r="B92" s="265" t="s">
        <v>1705</v>
      </c>
      <c r="C92" s="266">
        <v>81</v>
      </c>
      <c r="D92" s="267">
        <v>0</v>
      </c>
      <c r="E92" s="267">
        <v>0</v>
      </c>
      <c r="F92" s="268" t="str">
        <f t="shared" si="1"/>
        <v>-</v>
      </c>
    </row>
    <row r="93" spans="1:6" ht="14.1" customHeight="1" x14ac:dyDescent="0.25">
      <c r="A93" s="264" t="s">
        <v>1706</v>
      </c>
      <c r="B93" s="265" t="s">
        <v>1707</v>
      </c>
      <c r="C93" s="266">
        <v>82</v>
      </c>
      <c r="D93" s="267">
        <v>0</v>
      </c>
      <c r="E93" s="267">
        <v>0</v>
      </c>
      <c r="F93" s="268" t="str">
        <f t="shared" si="1"/>
        <v>-</v>
      </c>
    </row>
    <row r="94" spans="1:6" ht="14.1" customHeight="1" x14ac:dyDescent="0.25">
      <c r="A94" s="264" t="s">
        <v>1708</v>
      </c>
      <c r="B94" s="265" t="s">
        <v>1709</v>
      </c>
      <c r="C94" s="266">
        <v>83</v>
      </c>
      <c r="D94" s="267">
        <v>0</v>
      </c>
      <c r="E94" s="267">
        <v>0</v>
      </c>
      <c r="F94" s="268" t="str">
        <f t="shared" si="1"/>
        <v>-</v>
      </c>
    </row>
    <row r="95" spans="1:6" ht="14.1" customHeight="1" x14ac:dyDescent="0.25">
      <c r="A95" s="264" t="s">
        <v>1710</v>
      </c>
      <c r="B95" s="265" t="s">
        <v>1711</v>
      </c>
      <c r="C95" s="266">
        <v>84</v>
      </c>
      <c r="D95" s="267">
        <v>0</v>
      </c>
      <c r="E95" s="267">
        <v>0</v>
      </c>
      <c r="F95" s="268" t="str">
        <f t="shared" si="1"/>
        <v>-</v>
      </c>
    </row>
    <row r="96" spans="1:6" ht="14.1" customHeight="1" x14ac:dyDescent="0.25">
      <c r="A96" s="264" t="s">
        <v>1712</v>
      </c>
      <c r="B96" s="265" t="s">
        <v>1713</v>
      </c>
      <c r="C96" s="266">
        <v>85</v>
      </c>
      <c r="D96" s="267">
        <v>0</v>
      </c>
      <c r="E96" s="267">
        <v>0</v>
      </c>
      <c r="F96" s="268" t="str">
        <f t="shared" si="1"/>
        <v>-</v>
      </c>
    </row>
    <row r="97" spans="1:6" ht="14.1" customHeight="1" x14ac:dyDescent="0.25">
      <c r="A97" s="264" t="s">
        <v>1714</v>
      </c>
      <c r="B97" s="265" t="s">
        <v>1715</v>
      </c>
      <c r="C97" s="266">
        <v>86</v>
      </c>
      <c r="D97" s="267">
        <v>0</v>
      </c>
      <c r="E97" s="267">
        <v>0</v>
      </c>
      <c r="F97" s="268" t="str">
        <f t="shared" si="1"/>
        <v>-</v>
      </c>
    </row>
    <row r="98" spans="1:6" ht="14.1" customHeight="1" x14ac:dyDescent="0.25">
      <c r="A98" s="264" t="s">
        <v>1716</v>
      </c>
      <c r="B98" s="265" t="s">
        <v>1717</v>
      </c>
      <c r="C98" s="266">
        <v>87</v>
      </c>
      <c r="D98" s="267">
        <v>0</v>
      </c>
      <c r="E98" s="267">
        <v>0</v>
      </c>
      <c r="F98" s="268" t="str">
        <f t="shared" si="1"/>
        <v>-</v>
      </c>
    </row>
    <row r="99" spans="1:6" ht="14.1" customHeight="1" x14ac:dyDescent="0.25">
      <c r="A99" s="264" t="s">
        <v>1718</v>
      </c>
      <c r="B99" s="265" t="s">
        <v>1719</v>
      </c>
      <c r="C99" s="266">
        <v>88</v>
      </c>
      <c r="D99" s="267">
        <v>0</v>
      </c>
      <c r="E99" s="267">
        <v>0</v>
      </c>
      <c r="F99" s="268" t="str">
        <f t="shared" si="1"/>
        <v>-</v>
      </c>
    </row>
    <row r="100" spans="1:6" ht="14.1" customHeight="1" x14ac:dyDescent="0.25">
      <c r="A100" s="264" t="s">
        <v>1720</v>
      </c>
      <c r="B100" s="265" t="s">
        <v>1721</v>
      </c>
      <c r="C100" s="266">
        <v>89</v>
      </c>
      <c r="D100" s="267">
        <v>0</v>
      </c>
      <c r="E100" s="267">
        <v>0</v>
      </c>
      <c r="F100" s="268" t="str">
        <f t="shared" si="1"/>
        <v>-</v>
      </c>
    </row>
    <row r="101" spans="1:6" ht="14.1" customHeight="1" x14ac:dyDescent="0.25">
      <c r="A101" s="264" t="s">
        <v>1722</v>
      </c>
      <c r="B101" s="265" t="s">
        <v>515</v>
      </c>
      <c r="C101" s="266">
        <v>90</v>
      </c>
      <c r="D101" s="267">
        <v>0</v>
      </c>
      <c r="E101" s="267">
        <v>0</v>
      </c>
      <c r="F101" s="268" t="str">
        <f t="shared" si="1"/>
        <v>-</v>
      </c>
    </row>
    <row r="102" spans="1:6" ht="14.1" customHeight="1" x14ac:dyDescent="0.25">
      <c r="A102" s="264" t="s">
        <v>516</v>
      </c>
      <c r="B102" s="265" t="s">
        <v>517</v>
      </c>
      <c r="C102" s="266">
        <v>91</v>
      </c>
      <c r="D102" s="267">
        <v>0</v>
      </c>
      <c r="E102" s="267">
        <v>0</v>
      </c>
      <c r="F102" s="268" t="str">
        <f t="shared" si="1"/>
        <v>-</v>
      </c>
    </row>
    <row r="103" spans="1:6" ht="14.1" customHeight="1" x14ac:dyDescent="0.25">
      <c r="A103" s="264"/>
      <c r="B103" s="265" t="s">
        <v>518</v>
      </c>
      <c r="C103" s="266">
        <v>92</v>
      </c>
      <c r="D103" s="273">
        <f>SUM(D104:D113)</f>
        <v>0</v>
      </c>
      <c r="E103" s="273">
        <f>SUM(E104:E113)</f>
        <v>0</v>
      </c>
      <c r="F103" s="268" t="str">
        <f t="shared" si="1"/>
        <v>-</v>
      </c>
    </row>
    <row r="104" spans="1:6" ht="14.1" customHeight="1" x14ac:dyDescent="0.25">
      <c r="A104" s="264" t="s">
        <v>2270</v>
      </c>
      <c r="B104" s="265" t="s">
        <v>2271</v>
      </c>
      <c r="C104" s="266">
        <v>93</v>
      </c>
      <c r="D104" s="267">
        <v>0</v>
      </c>
      <c r="E104" s="267">
        <v>0</v>
      </c>
      <c r="F104" s="268" t="str">
        <f t="shared" si="1"/>
        <v>-</v>
      </c>
    </row>
    <row r="105" spans="1:6" ht="14.1" customHeight="1" x14ac:dyDescent="0.25">
      <c r="A105" s="264" t="s">
        <v>3039</v>
      </c>
      <c r="B105" s="265" t="s">
        <v>3040</v>
      </c>
      <c r="C105" s="266">
        <v>94</v>
      </c>
      <c r="D105" s="267">
        <v>0</v>
      </c>
      <c r="E105" s="267">
        <v>0</v>
      </c>
      <c r="F105" s="268" t="str">
        <f t="shared" si="1"/>
        <v>-</v>
      </c>
    </row>
    <row r="106" spans="1:6" ht="14.1" customHeight="1" x14ac:dyDescent="0.25">
      <c r="A106" s="264" t="s">
        <v>3041</v>
      </c>
      <c r="B106" s="265" t="s">
        <v>3042</v>
      </c>
      <c r="C106" s="266">
        <v>95</v>
      </c>
      <c r="D106" s="267">
        <v>0</v>
      </c>
      <c r="E106" s="267">
        <v>0</v>
      </c>
      <c r="F106" s="268" t="str">
        <f t="shared" si="1"/>
        <v>-</v>
      </c>
    </row>
    <row r="107" spans="1:6" ht="14.1" customHeight="1" x14ac:dyDescent="0.25">
      <c r="A107" s="264" t="s">
        <v>3043</v>
      </c>
      <c r="B107" s="265" t="s">
        <v>3044</v>
      </c>
      <c r="C107" s="266">
        <v>96</v>
      </c>
      <c r="D107" s="267">
        <v>0</v>
      </c>
      <c r="E107" s="267">
        <v>0</v>
      </c>
      <c r="F107" s="268" t="str">
        <f t="shared" si="1"/>
        <v>-</v>
      </c>
    </row>
    <row r="108" spans="1:6" ht="14.1" customHeight="1" x14ac:dyDescent="0.25">
      <c r="A108" s="264" t="s">
        <v>2272</v>
      </c>
      <c r="B108" s="265" t="s">
        <v>2240</v>
      </c>
      <c r="C108" s="266">
        <v>97</v>
      </c>
      <c r="D108" s="267">
        <v>0</v>
      </c>
      <c r="E108" s="267">
        <v>0</v>
      </c>
      <c r="F108" s="268" t="str">
        <f t="shared" si="1"/>
        <v>-</v>
      </c>
    </row>
    <row r="109" spans="1:6" ht="14.1" customHeight="1" x14ac:dyDescent="0.25">
      <c r="A109" s="264" t="s">
        <v>3045</v>
      </c>
      <c r="B109" s="265" t="s">
        <v>3046</v>
      </c>
      <c r="C109" s="266">
        <v>98</v>
      </c>
      <c r="D109" s="267">
        <v>0</v>
      </c>
      <c r="E109" s="267">
        <v>0</v>
      </c>
      <c r="F109" s="268" t="str">
        <f t="shared" si="1"/>
        <v>-</v>
      </c>
    </row>
    <row r="110" spans="1:6" ht="14.1" customHeight="1" x14ac:dyDescent="0.25">
      <c r="A110" s="264" t="s">
        <v>3047</v>
      </c>
      <c r="B110" s="265" t="s">
        <v>3048</v>
      </c>
      <c r="C110" s="266">
        <v>99</v>
      </c>
      <c r="D110" s="267">
        <v>0</v>
      </c>
      <c r="E110" s="267">
        <v>0</v>
      </c>
      <c r="F110" s="268" t="str">
        <f t="shared" si="1"/>
        <v>-</v>
      </c>
    </row>
    <row r="111" spans="1:6" ht="14.1" customHeight="1" x14ac:dyDescent="0.25">
      <c r="A111" s="264" t="s">
        <v>3049</v>
      </c>
      <c r="B111" s="265" t="s">
        <v>3050</v>
      </c>
      <c r="C111" s="266">
        <v>100</v>
      </c>
      <c r="D111" s="267">
        <v>0</v>
      </c>
      <c r="E111" s="267">
        <v>0</v>
      </c>
      <c r="F111" s="268" t="str">
        <f t="shared" si="1"/>
        <v>-</v>
      </c>
    </row>
    <row r="112" spans="1:6" ht="14.1" customHeight="1" x14ac:dyDescent="0.25">
      <c r="A112" s="264" t="s">
        <v>3051</v>
      </c>
      <c r="B112" s="265" t="s">
        <v>3052</v>
      </c>
      <c r="C112" s="266">
        <v>101</v>
      </c>
      <c r="D112" s="267">
        <v>0</v>
      </c>
      <c r="E112" s="267">
        <v>0</v>
      </c>
      <c r="F112" s="268" t="str">
        <f t="shared" si="1"/>
        <v>-</v>
      </c>
    </row>
    <row r="113" spans="1:6" ht="14.1" customHeight="1" x14ac:dyDescent="0.25">
      <c r="A113" s="264" t="s">
        <v>3053</v>
      </c>
      <c r="B113" s="265" t="s">
        <v>3054</v>
      </c>
      <c r="C113" s="266">
        <v>102</v>
      </c>
      <c r="D113" s="267">
        <v>0</v>
      </c>
      <c r="E113" s="267">
        <v>0</v>
      </c>
      <c r="F113" s="268" t="str">
        <f t="shared" si="1"/>
        <v>-</v>
      </c>
    </row>
    <row r="114" spans="1:6" ht="14.1" customHeight="1" x14ac:dyDescent="0.25">
      <c r="A114" s="264" t="s">
        <v>2241</v>
      </c>
      <c r="B114" s="265" t="s">
        <v>2242</v>
      </c>
      <c r="C114" s="266">
        <v>103</v>
      </c>
      <c r="D114" s="267">
        <v>0</v>
      </c>
      <c r="E114" s="267">
        <v>0</v>
      </c>
      <c r="F114" s="268" t="str">
        <f t="shared" si="1"/>
        <v>-</v>
      </c>
    </row>
    <row r="115" spans="1:6" ht="14.1" customHeight="1" x14ac:dyDescent="0.25">
      <c r="A115" s="264" t="s">
        <v>2243</v>
      </c>
      <c r="B115" s="265" t="s">
        <v>3055</v>
      </c>
      <c r="C115" s="266">
        <v>104</v>
      </c>
      <c r="D115" s="273">
        <f>D116+D123-D130</f>
        <v>0</v>
      </c>
      <c r="E115" s="273">
        <f>E116+E123-E130</f>
        <v>0</v>
      </c>
      <c r="F115" s="268" t="str">
        <f t="shared" si="1"/>
        <v>-</v>
      </c>
    </row>
    <row r="116" spans="1:6" ht="14.1" customHeight="1" x14ac:dyDescent="0.25">
      <c r="A116" s="264"/>
      <c r="B116" s="265" t="s">
        <v>3056</v>
      </c>
      <c r="C116" s="266">
        <v>105</v>
      </c>
      <c r="D116" s="273">
        <f>SUM(D117:D122)</f>
        <v>0</v>
      </c>
      <c r="E116" s="273">
        <f>SUM(E117:E122)</f>
        <v>0</v>
      </c>
      <c r="F116" s="268" t="str">
        <f t="shared" si="1"/>
        <v>-</v>
      </c>
    </row>
    <row r="117" spans="1:6" ht="14.1" customHeight="1" x14ac:dyDescent="0.25">
      <c r="A117" s="264" t="s">
        <v>2244</v>
      </c>
      <c r="B117" s="265" t="s">
        <v>2245</v>
      </c>
      <c r="C117" s="266">
        <v>106</v>
      </c>
      <c r="D117" s="267">
        <v>0</v>
      </c>
      <c r="E117" s="267">
        <v>0</v>
      </c>
      <c r="F117" s="268" t="str">
        <f t="shared" si="1"/>
        <v>-</v>
      </c>
    </row>
    <row r="118" spans="1:6" ht="14.1" customHeight="1" x14ac:dyDescent="0.25">
      <c r="A118" s="264" t="s">
        <v>2246</v>
      </c>
      <c r="B118" s="265" t="s">
        <v>2247</v>
      </c>
      <c r="C118" s="266">
        <v>107</v>
      </c>
      <c r="D118" s="267">
        <v>0</v>
      </c>
      <c r="E118" s="267">
        <v>0</v>
      </c>
      <c r="F118" s="268" t="str">
        <f t="shared" si="1"/>
        <v>-</v>
      </c>
    </row>
    <row r="119" spans="1:6" ht="14.1" customHeight="1" x14ac:dyDescent="0.25">
      <c r="A119" s="264" t="s">
        <v>2248</v>
      </c>
      <c r="B119" s="265" t="s">
        <v>2249</v>
      </c>
      <c r="C119" s="266">
        <v>108</v>
      </c>
      <c r="D119" s="267">
        <v>0</v>
      </c>
      <c r="E119" s="267">
        <v>0</v>
      </c>
      <c r="F119" s="268" t="str">
        <f t="shared" si="1"/>
        <v>-</v>
      </c>
    </row>
    <row r="120" spans="1:6" ht="14.1" customHeight="1" x14ac:dyDescent="0.25">
      <c r="A120" s="264" t="s">
        <v>2250</v>
      </c>
      <c r="B120" s="265" t="s">
        <v>2251</v>
      </c>
      <c r="C120" s="266">
        <v>109</v>
      </c>
      <c r="D120" s="267">
        <v>0</v>
      </c>
      <c r="E120" s="267">
        <v>0</v>
      </c>
      <c r="F120" s="268" t="str">
        <f t="shared" si="1"/>
        <v>-</v>
      </c>
    </row>
    <row r="121" spans="1:6" ht="14.1" customHeight="1" x14ac:dyDescent="0.25">
      <c r="A121" s="264" t="s">
        <v>2252</v>
      </c>
      <c r="B121" s="265" t="s">
        <v>2253</v>
      </c>
      <c r="C121" s="266">
        <v>110</v>
      </c>
      <c r="D121" s="267">
        <v>0</v>
      </c>
      <c r="E121" s="267">
        <v>0</v>
      </c>
      <c r="F121" s="268" t="str">
        <f t="shared" si="1"/>
        <v>-</v>
      </c>
    </row>
    <row r="122" spans="1:6" ht="14.1" customHeight="1" x14ac:dyDescent="0.25">
      <c r="A122" s="264" t="s">
        <v>2254</v>
      </c>
      <c r="B122" s="265" t="s">
        <v>2742</v>
      </c>
      <c r="C122" s="266">
        <v>111</v>
      </c>
      <c r="D122" s="267">
        <v>0</v>
      </c>
      <c r="E122" s="267">
        <v>0</v>
      </c>
      <c r="F122" s="268" t="str">
        <f t="shared" si="1"/>
        <v>-</v>
      </c>
    </row>
    <row r="123" spans="1:6" ht="14.1" customHeight="1" x14ac:dyDescent="0.25">
      <c r="A123" s="264"/>
      <c r="B123" s="265" t="s">
        <v>3057</v>
      </c>
      <c r="C123" s="266">
        <v>112</v>
      </c>
      <c r="D123" s="273">
        <f>SUM(D124:D129)</f>
        <v>0</v>
      </c>
      <c r="E123" s="273">
        <f>SUM(E124:E129)</f>
        <v>0</v>
      </c>
      <c r="F123" s="268" t="str">
        <f t="shared" si="1"/>
        <v>-</v>
      </c>
    </row>
    <row r="124" spans="1:6" ht="14.1" customHeight="1" x14ac:dyDescent="0.25">
      <c r="A124" s="264" t="s">
        <v>2743</v>
      </c>
      <c r="B124" s="265" t="s">
        <v>2245</v>
      </c>
      <c r="C124" s="266">
        <v>113</v>
      </c>
      <c r="D124" s="267">
        <v>0</v>
      </c>
      <c r="E124" s="267">
        <v>0</v>
      </c>
      <c r="F124" s="268" t="str">
        <f t="shared" si="1"/>
        <v>-</v>
      </c>
    </row>
    <row r="125" spans="1:6" ht="14.1" customHeight="1" x14ac:dyDescent="0.25">
      <c r="A125" s="264" t="s">
        <v>2744</v>
      </c>
      <c r="B125" s="265" t="s">
        <v>2247</v>
      </c>
      <c r="C125" s="266">
        <v>114</v>
      </c>
      <c r="D125" s="267">
        <v>0</v>
      </c>
      <c r="E125" s="267">
        <v>0</v>
      </c>
      <c r="F125" s="268" t="str">
        <f t="shared" si="1"/>
        <v>-</v>
      </c>
    </row>
    <row r="126" spans="1:6" ht="14.1" customHeight="1" x14ac:dyDescent="0.25">
      <c r="A126" s="264" t="s">
        <v>2745</v>
      </c>
      <c r="B126" s="265" t="s">
        <v>2249</v>
      </c>
      <c r="C126" s="266">
        <v>115</v>
      </c>
      <c r="D126" s="267">
        <v>0</v>
      </c>
      <c r="E126" s="267">
        <v>0</v>
      </c>
      <c r="F126" s="268" t="str">
        <f t="shared" si="1"/>
        <v>-</v>
      </c>
    </row>
    <row r="127" spans="1:6" ht="14.1" customHeight="1" x14ac:dyDescent="0.25">
      <c r="A127" s="264" t="s">
        <v>2746</v>
      </c>
      <c r="B127" s="265" t="s">
        <v>2251</v>
      </c>
      <c r="C127" s="266">
        <v>116</v>
      </c>
      <c r="D127" s="267">
        <v>0</v>
      </c>
      <c r="E127" s="267">
        <v>0</v>
      </c>
      <c r="F127" s="268" t="str">
        <f t="shared" si="1"/>
        <v>-</v>
      </c>
    </row>
    <row r="128" spans="1:6" ht="14.1" customHeight="1" x14ac:dyDescent="0.25">
      <c r="A128" s="264" t="s">
        <v>2747</v>
      </c>
      <c r="B128" s="265" t="s">
        <v>2253</v>
      </c>
      <c r="C128" s="266">
        <v>117</v>
      </c>
      <c r="D128" s="267">
        <v>0</v>
      </c>
      <c r="E128" s="267">
        <v>0</v>
      </c>
      <c r="F128" s="268" t="str">
        <f t="shared" si="1"/>
        <v>-</v>
      </c>
    </row>
    <row r="129" spans="1:6" ht="14.1" customHeight="1" x14ac:dyDescent="0.25">
      <c r="A129" s="264" t="s">
        <v>2748</v>
      </c>
      <c r="B129" s="265" t="s">
        <v>2742</v>
      </c>
      <c r="C129" s="266">
        <v>118</v>
      </c>
      <c r="D129" s="267">
        <v>0</v>
      </c>
      <c r="E129" s="267">
        <v>0</v>
      </c>
      <c r="F129" s="268" t="str">
        <f t="shared" si="1"/>
        <v>-</v>
      </c>
    </row>
    <row r="130" spans="1:6" ht="14.1" customHeight="1" x14ac:dyDescent="0.25">
      <c r="A130" s="264" t="s">
        <v>1493</v>
      </c>
      <c r="B130" s="265" t="s">
        <v>1494</v>
      </c>
      <c r="C130" s="266">
        <v>119</v>
      </c>
      <c r="D130" s="267">
        <v>0</v>
      </c>
      <c r="E130" s="267">
        <v>0</v>
      </c>
      <c r="F130" s="268" t="str">
        <f t="shared" si="1"/>
        <v>-</v>
      </c>
    </row>
    <row r="131" spans="1:6" ht="14.1" customHeight="1" x14ac:dyDescent="0.25">
      <c r="A131" s="264" t="s">
        <v>1495</v>
      </c>
      <c r="B131" s="265" t="s">
        <v>3058</v>
      </c>
      <c r="C131" s="266">
        <v>120</v>
      </c>
      <c r="D131" s="273">
        <f>D132+D139-D142</f>
        <v>214100</v>
      </c>
      <c r="E131" s="273">
        <f>E132+E139-E142</f>
        <v>214100</v>
      </c>
      <c r="F131" s="268">
        <f t="shared" si="1"/>
        <v>100</v>
      </c>
    </row>
    <row r="132" spans="1:6" ht="14.1" customHeight="1" x14ac:dyDescent="0.25">
      <c r="A132" s="264"/>
      <c r="B132" s="265" t="s">
        <v>3059</v>
      </c>
      <c r="C132" s="266">
        <v>121</v>
      </c>
      <c r="D132" s="273">
        <f>SUM(D133:D138)</f>
        <v>214100</v>
      </c>
      <c r="E132" s="273">
        <f>SUM(E133:E138)</f>
        <v>214100</v>
      </c>
      <c r="F132" s="268">
        <f t="shared" si="1"/>
        <v>100</v>
      </c>
    </row>
    <row r="133" spans="1:6" ht="14.1" customHeight="1" x14ac:dyDescent="0.25">
      <c r="A133" s="264" t="s">
        <v>3060</v>
      </c>
      <c r="B133" s="265" t="s">
        <v>2949</v>
      </c>
      <c r="C133" s="266">
        <v>122</v>
      </c>
      <c r="D133" s="267">
        <v>0</v>
      </c>
      <c r="E133" s="267">
        <v>0</v>
      </c>
      <c r="F133" s="268" t="str">
        <f t="shared" si="1"/>
        <v>-</v>
      </c>
    </row>
    <row r="134" spans="1:6" ht="14.1" customHeight="1" x14ac:dyDescent="0.25">
      <c r="A134" s="264" t="s">
        <v>3061</v>
      </c>
      <c r="B134" s="265" t="s">
        <v>2950</v>
      </c>
      <c r="C134" s="266">
        <v>123</v>
      </c>
      <c r="D134" s="267">
        <v>0</v>
      </c>
      <c r="E134" s="267">
        <v>0</v>
      </c>
      <c r="F134" s="268" t="str">
        <f t="shared" si="1"/>
        <v>-</v>
      </c>
    </row>
    <row r="135" spans="1:6" ht="14.1" customHeight="1" x14ac:dyDescent="0.25">
      <c r="A135" s="264" t="s">
        <v>3062</v>
      </c>
      <c r="B135" s="265" t="s">
        <v>2951</v>
      </c>
      <c r="C135" s="266">
        <v>124</v>
      </c>
      <c r="D135" s="267">
        <v>80000</v>
      </c>
      <c r="E135" s="267">
        <v>80000</v>
      </c>
      <c r="F135" s="268">
        <f t="shared" si="1"/>
        <v>100</v>
      </c>
    </row>
    <row r="136" spans="1:6" ht="14.1" customHeight="1" x14ac:dyDescent="0.25">
      <c r="A136" s="264" t="s">
        <v>1496</v>
      </c>
      <c r="B136" s="265" t="s">
        <v>1883</v>
      </c>
      <c r="C136" s="266">
        <v>125</v>
      </c>
      <c r="D136" s="267">
        <v>134100</v>
      </c>
      <c r="E136" s="267">
        <v>134100</v>
      </c>
      <c r="F136" s="268">
        <f t="shared" si="1"/>
        <v>100</v>
      </c>
    </row>
    <row r="137" spans="1:6" ht="14.1" customHeight="1" x14ac:dyDescent="0.25">
      <c r="A137" s="264" t="s">
        <v>1497</v>
      </c>
      <c r="B137" s="337" t="s">
        <v>3447</v>
      </c>
      <c r="C137" s="266">
        <v>126</v>
      </c>
      <c r="D137" s="267">
        <v>0</v>
      </c>
      <c r="E137" s="267">
        <v>0</v>
      </c>
      <c r="F137" s="268" t="str">
        <f t="shared" si="1"/>
        <v>-</v>
      </c>
    </row>
    <row r="138" spans="1:6" ht="14.1" customHeight="1" x14ac:dyDescent="0.25">
      <c r="A138" s="264" t="s">
        <v>1498</v>
      </c>
      <c r="B138" s="265" t="s">
        <v>203</v>
      </c>
      <c r="C138" s="266">
        <v>127</v>
      </c>
      <c r="D138" s="267">
        <v>0</v>
      </c>
      <c r="E138" s="267">
        <v>0</v>
      </c>
      <c r="F138" s="268" t="str">
        <f t="shared" si="1"/>
        <v>-</v>
      </c>
    </row>
    <row r="139" spans="1:6" ht="14.1" customHeight="1" x14ac:dyDescent="0.25">
      <c r="A139" s="264"/>
      <c r="B139" s="265" t="s">
        <v>3063</v>
      </c>
      <c r="C139" s="266">
        <v>128</v>
      </c>
      <c r="D139" s="273">
        <f>SUM(D140:D141)</f>
        <v>0</v>
      </c>
      <c r="E139" s="273">
        <f>SUM(E140:E141)</f>
        <v>0</v>
      </c>
      <c r="F139" s="268" t="str">
        <f t="shared" si="1"/>
        <v>-</v>
      </c>
    </row>
    <row r="140" spans="1:6" ht="14.1" customHeight="1" x14ac:dyDescent="0.25">
      <c r="A140" s="264" t="s">
        <v>500</v>
      </c>
      <c r="B140" s="265" t="s">
        <v>3310</v>
      </c>
      <c r="C140" s="266">
        <v>129</v>
      </c>
      <c r="D140" s="267">
        <v>0</v>
      </c>
      <c r="E140" s="267">
        <v>0</v>
      </c>
      <c r="F140" s="268" t="str">
        <f t="shared" si="1"/>
        <v>-</v>
      </c>
    </row>
    <row r="141" spans="1:6" ht="14.1" customHeight="1" x14ac:dyDescent="0.25">
      <c r="A141" s="264" t="s">
        <v>501</v>
      </c>
      <c r="B141" s="265" t="s">
        <v>502</v>
      </c>
      <c r="C141" s="266">
        <v>130</v>
      </c>
      <c r="D141" s="267">
        <v>0</v>
      </c>
      <c r="E141" s="267">
        <v>0</v>
      </c>
      <c r="F141" s="268" t="str">
        <f t="shared" ref="F141:F242" si="2">IF(D141&gt;0,IF(E141/D141&gt;=100,"&gt;&gt;100",E141/D141*100),"-")</f>
        <v>-</v>
      </c>
    </row>
    <row r="142" spans="1:6" ht="14.1" customHeight="1" x14ac:dyDescent="0.25">
      <c r="A142" s="264" t="s">
        <v>503</v>
      </c>
      <c r="B142" s="265" t="s">
        <v>504</v>
      </c>
      <c r="C142" s="266">
        <v>131</v>
      </c>
      <c r="D142" s="267">
        <v>0</v>
      </c>
      <c r="E142" s="267">
        <v>0</v>
      </c>
      <c r="F142" s="268" t="str">
        <f t="shared" si="2"/>
        <v>-</v>
      </c>
    </row>
    <row r="143" spans="1:6" ht="14.1" customHeight="1" x14ac:dyDescent="0.25">
      <c r="A143" s="264" t="s">
        <v>505</v>
      </c>
      <c r="B143" s="265" t="s">
        <v>562</v>
      </c>
      <c r="C143" s="266">
        <v>132</v>
      </c>
      <c r="D143" s="273">
        <f>SUM(D144:D151)-D152</f>
        <v>137633</v>
      </c>
      <c r="E143" s="273">
        <f>SUM(E144:E151)-E152</f>
        <v>212175</v>
      </c>
      <c r="F143" s="268">
        <f t="shared" si="2"/>
        <v>154.15997616850609</v>
      </c>
    </row>
    <row r="144" spans="1:6" ht="14.1" customHeight="1" x14ac:dyDescent="0.25">
      <c r="A144" s="264" t="s">
        <v>506</v>
      </c>
      <c r="B144" s="265" t="s">
        <v>507</v>
      </c>
      <c r="C144" s="266">
        <v>133</v>
      </c>
      <c r="D144" s="267">
        <v>0</v>
      </c>
      <c r="E144" s="267">
        <v>0</v>
      </c>
      <c r="F144" s="268" t="str">
        <f t="shared" si="2"/>
        <v>-</v>
      </c>
    </row>
    <row r="145" spans="1:6" ht="14.1" customHeight="1" x14ac:dyDescent="0.25">
      <c r="A145" s="264" t="s">
        <v>508</v>
      </c>
      <c r="B145" s="265" t="s">
        <v>509</v>
      </c>
      <c r="C145" s="266">
        <v>134</v>
      </c>
      <c r="D145" s="267">
        <v>0</v>
      </c>
      <c r="E145" s="267">
        <v>0</v>
      </c>
      <c r="F145" s="268" t="str">
        <f t="shared" si="2"/>
        <v>-</v>
      </c>
    </row>
    <row r="146" spans="1:6" ht="24.9" customHeight="1" x14ac:dyDescent="0.25">
      <c r="A146" s="264" t="s">
        <v>563</v>
      </c>
      <c r="B146" s="265" t="s">
        <v>564</v>
      </c>
      <c r="C146" s="266">
        <v>135</v>
      </c>
      <c r="D146" s="267">
        <v>0</v>
      </c>
      <c r="E146" s="267">
        <v>0</v>
      </c>
      <c r="F146" s="268" t="str">
        <f t="shared" si="2"/>
        <v>-</v>
      </c>
    </row>
    <row r="147" spans="1:6" ht="14.1" customHeight="1" x14ac:dyDescent="0.25">
      <c r="A147" s="264" t="s">
        <v>510</v>
      </c>
      <c r="B147" s="265" t="s">
        <v>398</v>
      </c>
      <c r="C147" s="266">
        <v>136</v>
      </c>
      <c r="D147" s="267">
        <v>81413</v>
      </c>
      <c r="E147" s="267">
        <v>145874</v>
      </c>
      <c r="F147" s="268">
        <f t="shared" si="2"/>
        <v>179.17777259160087</v>
      </c>
    </row>
    <row r="148" spans="1:6" ht="14.1" customHeight="1" x14ac:dyDescent="0.25">
      <c r="A148" s="264" t="s">
        <v>399</v>
      </c>
      <c r="B148" s="337" t="s">
        <v>565</v>
      </c>
      <c r="C148" s="266">
        <v>137</v>
      </c>
      <c r="D148" s="267">
        <v>56220</v>
      </c>
      <c r="E148" s="267">
        <v>66301</v>
      </c>
      <c r="F148" s="268">
        <f t="shared" si="2"/>
        <v>117.93134115972963</v>
      </c>
    </row>
    <row r="149" spans="1:6" ht="14.1" customHeight="1" x14ac:dyDescent="0.25">
      <c r="A149" s="264" t="s">
        <v>400</v>
      </c>
      <c r="B149" s="265" t="s">
        <v>566</v>
      </c>
      <c r="C149" s="266">
        <v>138</v>
      </c>
      <c r="D149" s="267">
        <v>0</v>
      </c>
      <c r="E149" s="267">
        <v>0</v>
      </c>
      <c r="F149" s="268" t="str">
        <f t="shared" si="2"/>
        <v>-</v>
      </c>
    </row>
    <row r="150" spans="1:6" ht="14.1" customHeight="1" x14ac:dyDescent="0.25">
      <c r="A150" s="264" t="s">
        <v>567</v>
      </c>
      <c r="B150" s="265" t="s">
        <v>568</v>
      </c>
      <c r="C150" s="266">
        <v>139</v>
      </c>
      <c r="D150" s="267">
        <v>0</v>
      </c>
      <c r="E150" s="267">
        <v>0</v>
      </c>
      <c r="F150" s="268" t="str">
        <f t="shared" si="2"/>
        <v>-</v>
      </c>
    </row>
    <row r="151" spans="1:6" ht="14.1" customHeight="1" x14ac:dyDescent="0.25">
      <c r="A151" s="264" t="s">
        <v>996</v>
      </c>
      <c r="B151" s="265" t="s">
        <v>3066</v>
      </c>
      <c r="C151" s="266">
        <v>140</v>
      </c>
      <c r="D151" s="267">
        <v>0</v>
      </c>
      <c r="E151" s="267">
        <v>0</v>
      </c>
      <c r="F151" s="268" t="str">
        <f t="shared" si="2"/>
        <v>-</v>
      </c>
    </row>
    <row r="152" spans="1:6" ht="14.1" customHeight="1" x14ac:dyDescent="0.25">
      <c r="A152" s="264" t="s">
        <v>401</v>
      </c>
      <c r="B152" s="265" t="s">
        <v>402</v>
      </c>
      <c r="C152" s="266">
        <v>141</v>
      </c>
      <c r="D152" s="267">
        <v>0</v>
      </c>
      <c r="E152" s="267">
        <v>0</v>
      </c>
      <c r="F152" s="268" t="str">
        <f t="shared" si="2"/>
        <v>-</v>
      </c>
    </row>
    <row r="153" spans="1:6" ht="14.1" customHeight="1" x14ac:dyDescent="0.25">
      <c r="A153" s="264" t="s">
        <v>403</v>
      </c>
      <c r="B153" s="265" t="s">
        <v>404</v>
      </c>
      <c r="C153" s="266">
        <v>142</v>
      </c>
      <c r="D153" s="267">
        <v>0</v>
      </c>
      <c r="E153" s="267">
        <v>0</v>
      </c>
      <c r="F153" s="268" t="str">
        <f t="shared" si="2"/>
        <v>-</v>
      </c>
    </row>
    <row r="154" spans="1:6" ht="14.1" customHeight="1" x14ac:dyDescent="0.25">
      <c r="A154" s="264" t="s">
        <v>405</v>
      </c>
      <c r="B154" s="265" t="s">
        <v>3067</v>
      </c>
      <c r="C154" s="266">
        <v>143</v>
      </c>
      <c r="D154" s="273">
        <f>SUM(D155:D156)</f>
        <v>0</v>
      </c>
      <c r="E154" s="273">
        <f>SUM(E155:E156)</f>
        <v>0</v>
      </c>
      <c r="F154" s="268" t="str">
        <f t="shared" si="2"/>
        <v>-</v>
      </c>
    </row>
    <row r="155" spans="1:6" ht="14.1" customHeight="1" x14ac:dyDescent="0.25">
      <c r="A155" s="264" t="s">
        <v>3648</v>
      </c>
      <c r="B155" s="265" t="s">
        <v>3649</v>
      </c>
      <c r="C155" s="266">
        <v>144</v>
      </c>
      <c r="D155" s="267">
        <v>0</v>
      </c>
      <c r="E155" s="267">
        <v>0</v>
      </c>
      <c r="F155" s="268" t="str">
        <f t="shared" si="2"/>
        <v>-</v>
      </c>
    </row>
    <row r="156" spans="1:6" ht="14.1" customHeight="1" x14ac:dyDescent="0.25">
      <c r="A156" s="264" t="s">
        <v>406</v>
      </c>
      <c r="B156" s="265" t="s">
        <v>407</v>
      </c>
      <c r="C156" s="266">
        <v>145</v>
      </c>
      <c r="D156" s="267">
        <v>0</v>
      </c>
      <c r="E156" s="267">
        <v>0</v>
      </c>
      <c r="F156" s="268" t="str">
        <f t="shared" si="2"/>
        <v>-</v>
      </c>
    </row>
    <row r="157" spans="1:6" ht="14.1" customHeight="1" x14ac:dyDescent="0.25">
      <c r="A157" s="264"/>
      <c r="B157" s="265" t="s">
        <v>1723</v>
      </c>
      <c r="C157" s="266">
        <v>146</v>
      </c>
      <c r="D157" s="273">
        <f>D158+D216</f>
        <v>9542508</v>
      </c>
      <c r="E157" s="273">
        <f>E158+E216</f>
        <v>9329560</v>
      </c>
      <c r="F157" s="268">
        <f t="shared" si="2"/>
        <v>97.768427335874392</v>
      </c>
    </row>
    <row r="158" spans="1:6" ht="14.1" customHeight="1" x14ac:dyDescent="0.25">
      <c r="A158" s="264" t="s">
        <v>408</v>
      </c>
      <c r="B158" s="265" t="s">
        <v>1724</v>
      </c>
      <c r="C158" s="266">
        <v>147</v>
      </c>
      <c r="D158" s="273">
        <f>D159+D168+D169+D185+D213</f>
        <v>264628</v>
      </c>
      <c r="E158" s="273">
        <f>E159+E168+E169+E185+E213</f>
        <v>391071</v>
      </c>
      <c r="F158" s="268">
        <f t="shared" si="2"/>
        <v>147.78141390933689</v>
      </c>
    </row>
    <row r="159" spans="1:6" ht="14.1" customHeight="1" x14ac:dyDescent="0.25">
      <c r="A159" s="264" t="s">
        <v>2895</v>
      </c>
      <c r="B159" s="265" t="s">
        <v>1725</v>
      </c>
      <c r="C159" s="266">
        <v>148</v>
      </c>
      <c r="D159" s="273">
        <f>SUM(D160:D167)</f>
        <v>224738</v>
      </c>
      <c r="E159" s="273">
        <f>SUM(E160:E167)</f>
        <v>336668</v>
      </c>
      <c r="F159" s="268">
        <f t="shared" ref="F159:F189" si="3">IF(D159&gt;0,IF(E159/D159&gt;=100,"&gt;&gt;100",E159/D159*100),"-")</f>
        <v>149.80466142797391</v>
      </c>
    </row>
    <row r="160" spans="1:6" ht="14.1" customHeight="1" x14ac:dyDescent="0.25">
      <c r="A160" s="264" t="s">
        <v>2896</v>
      </c>
      <c r="B160" s="265" t="s">
        <v>2897</v>
      </c>
      <c r="C160" s="266">
        <v>149</v>
      </c>
      <c r="D160" s="267">
        <v>0</v>
      </c>
      <c r="E160" s="267">
        <v>0</v>
      </c>
      <c r="F160" s="268" t="str">
        <f t="shared" si="3"/>
        <v>-</v>
      </c>
    </row>
    <row r="161" spans="1:6" ht="14.1" customHeight="1" x14ac:dyDescent="0.25">
      <c r="A161" s="264" t="s">
        <v>2898</v>
      </c>
      <c r="B161" s="265" t="s">
        <v>2899</v>
      </c>
      <c r="C161" s="266">
        <v>150</v>
      </c>
      <c r="D161" s="267">
        <v>69360</v>
      </c>
      <c r="E161" s="267">
        <v>41300</v>
      </c>
      <c r="F161" s="268">
        <f t="shared" si="3"/>
        <v>59.544405997693197</v>
      </c>
    </row>
    <row r="162" spans="1:6" ht="14.1" customHeight="1" x14ac:dyDescent="0.25">
      <c r="A162" s="264" t="s">
        <v>2900</v>
      </c>
      <c r="B162" s="265" t="s">
        <v>2901</v>
      </c>
      <c r="C162" s="266">
        <v>151</v>
      </c>
      <c r="D162" s="267">
        <v>0</v>
      </c>
      <c r="E162" s="267">
        <v>162</v>
      </c>
      <c r="F162" s="268" t="str">
        <f t="shared" si="3"/>
        <v>-</v>
      </c>
    </row>
    <row r="163" spans="1:6" ht="14.1" customHeight="1" x14ac:dyDescent="0.25">
      <c r="A163" s="264" t="s">
        <v>2902</v>
      </c>
      <c r="B163" s="265" t="s">
        <v>2903</v>
      </c>
      <c r="C163" s="266">
        <v>152</v>
      </c>
      <c r="D163" s="267">
        <v>21374</v>
      </c>
      <c r="E163" s="267">
        <v>15864</v>
      </c>
      <c r="F163" s="268">
        <f t="shared" si="3"/>
        <v>74.221016187891834</v>
      </c>
    </row>
    <row r="164" spans="1:6" ht="14.1" customHeight="1" x14ac:dyDescent="0.25">
      <c r="A164" s="264" t="s">
        <v>1726</v>
      </c>
      <c r="B164" s="265" t="s">
        <v>1727</v>
      </c>
      <c r="C164" s="266">
        <v>153</v>
      </c>
      <c r="D164" s="267">
        <v>0</v>
      </c>
      <c r="E164" s="267">
        <v>0</v>
      </c>
      <c r="F164" s="268" t="str">
        <f t="shared" si="3"/>
        <v>-</v>
      </c>
    </row>
    <row r="165" spans="1:6" ht="14.1" customHeight="1" x14ac:dyDescent="0.25">
      <c r="A165" s="264" t="s">
        <v>2904</v>
      </c>
      <c r="B165" s="265" t="s">
        <v>2905</v>
      </c>
      <c r="C165" s="266">
        <v>154</v>
      </c>
      <c r="D165" s="267">
        <v>57213</v>
      </c>
      <c r="E165" s="267">
        <v>60993</v>
      </c>
      <c r="F165" s="268">
        <f t="shared" si="3"/>
        <v>106.60689004247286</v>
      </c>
    </row>
    <row r="166" spans="1:6" ht="14.1" customHeight="1" x14ac:dyDescent="0.25">
      <c r="A166" s="264" t="s">
        <v>2906</v>
      </c>
      <c r="B166" s="265" t="s">
        <v>1728</v>
      </c>
      <c r="C166" s="266">
        <v>155</v>
      </c>
      <c r="D166" s="267">
        <v>0</v>
      </c>
      <c r="E166" s="267">
        <v>156452</v>
      </c>
      <c r="F166" s="268" t="str">
        <f t="shared" si="3"/>
        <v>-</v>
      </c>
    </row>
    <row r="167" spans="1:6" ht="14.1" customHeight="1" x14ac:dyDescent="0.25">
      <c r="A167" s="264" t="s">
        <v>2907</v>
      </c>
      <c r="B167" s="265" t="s">
        <v>2908</v>
      </c>
      <c r="C167" s="266">
        <v>156</v>
      </c>
      <c r="D167" s="267">
        <v>76791</v>
      </c>
      <c r="E167" s="267">
        <v>61897</v>
      </c>
      <c r="F167" s="268">
        <f t="shared" si="3"/>
        <v>80.604497922933689</v>
      </c>
    </row>
    <row r="168" spans="1:6" ht="14.1" customHeight="1" x14ac:dyDescent="0.25">
      <c r="A168" s="264" t="s">
        <v>2909</v>
      </c>
      <c r="B168" s="265" t="s">
        <v>2910</v>
      </c>
      <c r="C168" s="266">
        <v>157</v>
      </c>
      <c r="D168" s="267">
        <v>39890</v>
      </c>
      <c r="E168" s="267">
        <v>54403</v>
      </c>
      <c r="F168" s="268">
        <f t="shared" si="3"/>
        <v>136.38255201804964</v>
      </c>
    </row>
    <row r="169" spans="1:6" ht="14.1" customHeight="1" x14ac:dyDescent="0.25">
      <c r="A169" s="264" t="s">
        <v>2911</v>
      </c>
      <c r="B169" s="265" t="s">
        <v>1729</v>
      </c>
      <c r="C169" s="266">
        <v>158</v>
      </c>
      <c r="D169" s="273">
        <f>D170+D177-D184</f>
        <v>0</v>
      </c>
      <c r="E169" s="273">
        <f>E170+E177-E184</f>
        <v>0</v>
      </c>
      <c r="F169" s="268" t="str">
        <f t="shared" si="3"/>
        <v>-</v>
      </c>
    </row>
    <row r="170" spans="1:6" ht="14.1" customHeight="1" x14ac:dyDescent="0.25">
      <c r="A170" s="264"/>
      <c r="B170" s="265" t="s">
        <v>1730</v>
      </c>
      <c r="C170" s="266">
        <v>159</v>
      </c>
      <c r="D170" s="273">
        <f>SUM(D171:D176)</f>
        <v>0</v>
      </c>
      <c r="E170" s="273">
        <f>SUM(E171:E176)</f>
        <v>0</v>
      </c>
      <c r="F170" s="268" t="str">
        <f t="shared" si="3"/>
        <v>-</v>
      </c>
    </row>
    <row r="171" spans="1:6" ht="14.1" customHeight="1" x14ac:dyDescent="0.25">
      <c r="A171" s="264" t="s">
        <v>2912</v>
      </c>
      <c r="B171" s="265" t="s">
        <v>2913</v>
      </c>
      <c r="C171" s="266">
        <v>160</v>
      </c>
      <c r="D171" s="267">
        <v>0</v>
      </c>
      <c r="E171" s="267">
        <v>0</v>
      </c>
      <c r="F171" s="268" t="str">
        <f t="shared" si="3"/>
        <v>-</v>
      </c>
    </row>
    <row r="172" spans="1:6" ht="14.1" customHeight="1" x14ac:dyDescent="0.25">
      <c r="A172" s="264" t="s">
        <v>4176</v>
      </c>
      <c r="B172" s="265" t="s">
        <v>4177</v>
      </c>
      <c r="C172" s="266">
        <v>161</v>
      </c>
      <c r="D172" s="267">
        <v>0</v>
      </c>
      <c r="E172" s="267">
        <v>0</v>
      </c>
      <c r="F172" s="268" t="str">
        <f t="shared" si="3"/>
        <v>-</v>
      </c>
    </row>
    <row r="173" spans="1:6" ht="14.1" customHeight="1" x14ac:dyDescent="0.25">
      <c r="A173" s="264" t="s">
        <v>4178</v>
      </c>
      <c r="B173" s="265" t="s">
        <v>4179</v>
      </c>
      <c r="C173" s="266">
        <v>162</v>
      </c>
      <c r="D173" s="267">
        <v>0</v>
      </c>
      <c r="E173" s="267">
        <v>0</v>
      </c>
      <c r="F173" s="268" t="str">
        <f t="shared" si="3"/>
        <v>-</v>
      </c>
    </row>
    <row r="174" spans="1:6" ht="14.1" customHeight="1" x14ac:dyDescent="0.25">
      <c r="A174" s="264" t="s">
        <v>4180</v>
      </c>
      <c r="B174" s="265" t="s">
        <v>4181</v>
      </c>
      <c r="C174" s="266">
        <v>163</v>
      </c>
      <c r="D174" s="267">
        <v>0</v>
      </c>
      <c r="E174" s="267">
        <v>0</v>
      </c>
      <c r="F174" s="268" t="str">
        <f t="shared" si="3"/>
        <v>-</v>
      </c>
    </row>
    <row r="175" spans="1:6" ht="14.1" customHeight="1" x14ac:dyDescent="0.25">
      <c r="A175" s="264" t="s">
        <v>4182</v>
      </c>
      <c r="B175" s="265" t="s">
        <v>4183</v>
      </c>
      <c r="C175" s="266">
        <v>164</v>
      </c>
      <c r="D175" s="267">
        <v>0</v>
      </c>
      <c r="E175" s="267">
        <v>0</v>
      </c>
      <c r="F175" s="268" t="str">
        <f t="shared" si="3"/>
        <v>-</v>
      </c>
    </row>
    <row r="176" spans="1:6" ht="14.1" customHeight="1" x14ac:dyDescent="0.25">
      <c r="A176" s="264" t="s">
        <v>4184</v>
      </c>
      <c r="B176" s="265" t="s">
        <v>4185</v>
      </c>
      <c r="C176" s="266">
        <v>165</v>
      </c>
      <c r="D176" s="267">
        <v>0</v>
      </c>
      <c r="E176" s="267">
        <v>0</v>
      </c>
      <c r="F176" s="268" t="str">
        <f t="shared" si="3"/>
        <v>-</v>
      </c>
    </row>
    <row r="177" spans="1:6" ht="14.1" customHeight="1" x14ac:dyDescent="0.25">
      <c r="A177" s="264"/>
      <c r="B177" s="265" t="s">
        <v>1731</v>
      </c>
      <c r="C177" s="266">
        <v>166</v>
      </c>
      <c r="D177" s="273">
        <f>SUM(D178:D183)</f>
        <v>0</v>
      </c>
      <c r="E177" s="273">
        <f>SUM(E178:E183)</f>
        <v>0</v>
      </c>
      <c r="F177" s="268" t="str">
        <f t="shared" si="3"/>
        <v>-</v>
      </c>
    </row>
    <row r="178" spans="1:6" ht="14.1" customHeight="1" x14ac:dyDescent="0.25">
      <c r="A178" s="264" t="s">
        <v>4186</v>
      </c>
      <c r="B178" s="265" t="s">
        <v>2913</v>
      </c>
      <c r="C178" s="266">
        <v>167</v>
      </c>
      <c r="D178" s="267">
        <v>0</v>
      </c>
      <c r="E178" s="267">
        <v>0</v>
      </c>
      <c r="F178" s="268" t="str">
        <f t="shared" si="3"/>
        <v>-</v>
      </c>
    </row>
    <row r="179" spans="1:6" ht="14.1" customHeight="1" x14ac:dyDescent="0.25">
      <c r="A179" s="264" t="s">
        <v>4187</v>
      </c>
      <c r="B179" s="265" t="s">
        <v>4177</v>
      </c>
      <c r="C179" s="266">
        <v>168</v>
      </c>
      <c r="D179" s="267">
        <v>0</v>
      </c>
      <c r="E179" s="267">
        <v>0</v>
      </c>
      <c r="F179" s="268" t="str">
        <f t="shared" si="3"/>
        <v>-</v>
      </c>
    </row>
    <row r="180" spans="1:6" ht="14.1" customHeight="1" x14ac:dyDescent="0.25">
      <c r="A180" s="264" t="s">
        <v>4188</v>
      </c>
      <c r="B180" s="265" t="s">
        <v>4179</v>
      </c>
      <c r="C180" s="266">
        <v>169</v>
      </c>
      <c r="D180" s="267">
        <v>0</v>
      </c>
      <c r="E180" s="267">
        <v>0</v>
      </c>
      <c r="F180" s="268" t="str">
        <f t="shared" si="3"/>
        <v>-</v>
      </c>
    </row>
    <row r="181" spans="1:6" ht="14.1" customHeight="1" x14ac:dyDescent="0.25">
      <c r="A181" s="264" t="s">
        <v>4189</v>
      </c>
      <c r="B181" s="265" t="s">
        <v>4181</v>
      </c>
      <c r="C181" s="266">
        <v>170</v>
      </c>
      <c r="D181" s="267">
        <v>0</v>
      </c>
      <c r="E181" s="267">
        <v>0</v>
      </c>
      <c r="F181" s="268" t="str">
        <f t="shared" si="3"/>
        <v>-</v>
      </c>
    </row>
    <row r="182" spans="1:6" ht="14.1" customHeight="1" x14ac:dyDescent="0.25">
      <c r="A182" s="264" t="s">
        <v>4190</v>
      </c>
      <c r="B182" s="265" t="s">
        <v>4183</v>
      </c>
      <c r="C182" s="266">
        <v>171</v>
      </c>
      <c r="D182" s="267">
        <v>0</v>
      </c>
      <c r="E182" s="267">
        <v>0</v>
      </c>
      <c r="F182" s="268" t="str">
        <f t="shared" si="3"/>
        <v>-</v>
      </c>
    </row>
    <row r="183" spans="1:6" ht="14.1" customHeight="1" x14ac:dyDescent="0.25">
      <c r="A183" s="264" t="s">
        <v>4191</v>
      </c>
      <c r="B183" s="265" t="s">
        <v>4185</v>
      </c>
      <c r="C183" s="266">
        <v>172</v>
      </c>
      <c r="D183" s="267">
        <v>0</v>
      </c>
      <c r="E183" s="267">
        <v>0</v>
      </c>
      <c r="F183" s="268" t="str">
        <f t="shared" si="3"/>
        <v>-</v>
      </c>
    </row>
    <row r="184" spans="1:6" ht="14.1" customHeight="1" x14ac:dyDescent="0.25">
      <c r="A184" s="264" t="s">
        <v>4192</v>
      </c>
      <c r="B184" s="265" t="s">
        <v>4193</v>
      </c>
      <c r="C184" s="266">
        <v>173</v>
      </c>
      <c r="D184" s="267">
        <v>0</v>
      </c>
      <c r="E184" s="267">
        <v>0</v>
      </c>
      <c r="F184" s="268" t="str">
        <f t="shared" si="3"/>
        <v>-</v>
      </c>
    </row>
    <row r="185" spans="1:6" ht="14.1" customHeight="1" x14ac:dyDescent="0.25">
      <c r="A185" s="264" t="s">
        <v>4194</v>
      </c>
      <c r="B185" s="265" t="s">
        <v>1732</v>
      </c>
      <c r="C185" s="266">
        <v>174</v>
      </c>
      <c r="D185" s="273">
        <f>D186+D203</f>
        <v>0</v>
      </c>
      <c r="E185" s="273">
        <f>E186+E203</f>
        <v>0</v>
      </c>
      <c r="F185" s="268" t="str">
        <f t="shared" si="3"/>
        <v>-</v>
      </c>
    </row>
    <row r="186" spans="1:6" ht="14.1" customHeight="1" x14ac:dyDescent="0.25">
      <c r="A186" s="264"/>
      <c r="B186" s="265" t="s">
        <v>1733</v>
      </c>
      <c r="C186" s="266">
        <v>175</v>
      </c>
      <c r="D186" s="273">
        <f>SUM(D187:D202)</f>
        <v>0</v>
      </c>
      <c r="E186" s="273">
        <f>SUM(E187:E202)</f>
        <v>0</v>
      </c>
      <c r="F186" s="268" t="str">
        <f t="shared" si="3"/>
        <v>-</v>
      </c>
    </row>
    <row r="187" spans="1:6" ht="14.1" customHeight="1" x14ac:dyDescent="0.25">
      <c r="A187" s="264" t="s">
        <v>1734</v>
      </c>
      <c r="B187" s="265" t="s">
        <v>1735</v>
      </c>
      <c r="C187" s="266">
        <v>176</v>
      </c>
      <c r="D187" s="267">
        <v>0</v>
      </c>
      <c r="E187" s="267">
        <v>0</v>
      </c>
      <c r="F187" s="268" t="str">
        <f t="shared" si="3"/>
        <v>-</v>
      </c>
    </row>
    <row r="188" spans="1:6" ht="14.1" customHeight="1" x14ac:dyDescent="0.25">
      <c r="A188" s="264" t="s">
        <v>1736</v>
      </c>
      <c r="B188" s="265" t="s">
        <v>1737</v>
      </c>
      <c r="C188" s="266">
        <v>177</v>
      </c>
      <c r="D188" s="267">
        <v>0</v>
      </c>
      <c r="E188" s="267">
        <v>0</v>
      </c>
      <c r="F188" s="268" t="str">
        <f t="shared" si="3"/>
        <v>-</v>
      </c>
    </row>
    <row r="189" spans="1:6" ht="14.1" customHeight="1" x14ac:dyDescent="0.25">
      <c r="A189" s="264" t="s">
        <v>1738</v>
      </c>
      <c r="B189" s="265" t="s">
        <v>1739</v>
      </c>
      <c r="C189" s="266">
        <v>178</v>
      </c>
      <c r="D189" s="267">
        <v>0</v>
      </c>
      <c r="E189" s="267">
        <v>0</v>
      </c>
      <c r="F189" s="268" t="str">
        <f t="shared" si="3"/>
        <v>-</v>
      </c>
    </row>
    <row r="190" spans="1:6" ht="14.1" customHeight="1" x14ac:dyDescent="0.25">
      <c r="A190" s="264" t="s">
        <v>4195</v>
      </c>
      <c r="B190" s="265" t="s">
        <v>1740</v>
      </c>
      <c r="C190" s="266">
        <v>179</v>
      </c>
      <c r="D190" s="267">
        <v>0</v>
      </c>
      <c r="E190" s="267">
        <v>0</v>
      </c>
      <c r="F190" s="268" t="str">
        <f t="shared" si="2"/>
        <v>-</v>
      </c>
    </row>
    <row r="191" spans="1:6" ht="14.1" customHeight="1" x14ac:dyDescent="0.25">
      <c r="A191" s="264" t="s">
        <v>1741</v>
      </c>
      <c r="B191" s="265" t="s">
        <v>1742</v>
      </c>
      <c r="C191" s="266">
        <v>180</v>
      </c>
      <c r="D191" s="267">
        <v>0</v>
      </c>
      <c r="E191" s="267">
        <v>0</v>
      </c>
      <c r="F191" s="268" t="str">
        <f t="shared" si="2"/>
        <v>-</v>
      </c>
    </row>
    <row r="192" spans="1:6" ht="14.1" customHeight="1" x14ac:dyDescent="0.25">
      <c r="A192" s="264" t="s">
        <v>1743</v>
      </c>
      <c r="B192" s="265" t="s">
        <v>1744</v>
      </c>
      <c r="C192" s="266">
        <v>181</v>
      </c>
      <c r="D192" s="267">
        <v>0</v>
      </c>
      <c r="E192" s="267">
        <v>0</v>
      </c>
      <c r="F192" s="268" t="str">
        <f t="shared" si="2"/>
        <v>-</v>
      </c>
    </row>
    <row r="193" spans="1:6" ht="14.1" customHeight="1" x14ac:dyDescent="0.25">
      <c r="A193" s="264" t="s">
        <v>3081</v>
      </c>
      <c r="B193" s="265" t="s">
        <v>3082</v>
      </c>
      <c r="C193" s="266">
        <v>182</v>
      </c>
      <c r="D193" s="267">
        <v>0</v>
      </c>
      <c r="E193" s="267">
        <v>0</v>
      </c>
      <c r="F193" s="268" t="str">
        <f t="shared" si="2"/>
        <v>-</v>
      </c>
    </row>
    <row r="194" spans="1:6" ht="14.1" customHeight="1" x14ac:dyDescent="0.25">
      <c r="A194" s="264" t="s">
        <v>3083</v>
      </c>
      <c r="B194" s="265" t="s">
        <v>3084</v>
      </c>
      <c r="C194" s="266">
        <v>183</v>
      </c>
      <c r="D194" s="267">
        <v>0</v>
      </c>
      <c r="E194" s="267">
        <v>0</v>
      </c>
      <c r="F194" s="268" t="str">
        <f t="shared" si="2"/>
        <v>-</v>
      </c>
    </row>
    <row r="195" spans="1:6" ht="14.1" customHeight="1" x14ac:dyDescent="0.25">
      <c r="A195" s="264" t="s">
        <v>3085</v>
      </c>
      <c r="B195" s="265" t="s">
        <v>3086</v>
      </c>
      <c r="C195" s="266">
        <v>184</v>
      </c>
      <c r="D195" s="267">
        <v>0</v>
      </c>
      <c r="E195" s="267">
        <v>0</v>
      </c>
      <c r="F195" s="268" t="str">
        <f t="shared" si="2"/>
        <v>-</v>
      </c>
    </row>
    <row r="196" spans="1:6" ht="14.1" customHeight="1" x14ac:dyDescent="0.25">
      <c r="A196" s="264" t="s">
        <v>3087</v>
      </c>
      <c r="B196" s="265" t="s">
        <v>3088</v>
      </c>
      <c r="C196" s="266">
        <v>185</v>
      </c>
      <c r="D196" s="267">
        <v>0</v>
      </c>
      <c r="E196" s="267">
        <v>0</v>
      </c>
      <c r="F196" s="268" t="str">
        <f t="shared" si="2"/>
        <v>-</v>
      </c>
    </row>
    <row r="197" spans="1:6" ht="14.1" customHeight="1" x14ac:dyDescent="0.25">
      <c r="A197" s="264" t="s">
        <v>2326</v>
      </c>
      <c r="B197" s="265" t="s">
        <v>2327</v>
      </c>
      <c r="C197" s="266">
        <v>186</v>
      </c>
      <c r="D197" s="267">
        <v>0</v>
      </c>
      <c r="E197" s="267">
        <v>0</v>
      </c>
      <c r="F197" s="268" t="str">
        <f t="shared" si="2"/>
        <v>-</v>
      </c>
    </row>
    <row r="198" spans="1:6" ht="14.1" customHeight="1" x14ac:dyDescent="0.25">
      <c r="A198" s="264" t="s">
        <v>2328</v>
      </c>
      <c r="B198" s="265" t="s">
        <v>2329</v>
      </c>
      <c r="C198" s="266">
        <v>187</v>
      </c>
      <c r="D198" s="267">
        <v>0</v>
      </c>
      <c r="E198" s="267">
        <v>0</v>
      </c>
      <c r="F198" s="268" t="str">
        <f t="shared" si="2"/>
        <v>-</v>
      </c>
    </row>
    <row r="199" spans="1:6" ht="14.1" customHeight="1" x14ac:dyDescent="0.25">
      <c r="A199" s="264" t="s">
        <v>2330</v>
      </c>
      <c r="B199" s="265" t="s">
        <v>2331</v>
      </c>
      <c r="C199" s="266">
        <v>188</v>
      </c>
      <c r="D199" s="267">
        <v>0</v>
      </c>
      <c r="E199" s="267">
        <v>0</v>
      </c>
      <c r="F199" s="268" t="str">
        <f t="shared" si="2"/>
        <v>-</v>
      </c>
    </row>
    <row r="200" spans="1:6" ht="14.1" customHeight="1" x14ac:dyDescent="0.25">
      <c r="A200" s="264" t="s">
        <v>2332</v>
      </c>
      <c r="B200" s="265" t="s">
        <v>2333</v>
      </c>
      <c r="C200" s="266">
        <v>189</v>
      </c>
      <c r="D200" s="267">
        <v>0</v>
      </c>
      <c r="E200" s="267">
        <v>0</v>
      </c>
      <c r="F200" s="268" t="str">
        <f t="shared" si="2"/>
        <v>-</v>
      </c>
    </row>
    <row r="201" spans="1:6" ht="14.1" customHeight="1" x14ac:dyDescent="0.25">
      <c r="A201" s="264" t="s">
        <v>2334</v>
      </c>
      <c r="B201" s="265" t="s">
        <v>2335</v>
      </c>
      <c r="C201" s="266">
        <v>190</v>
      </c>
      <c r="D201" s="267">
        <v>0</v>
      </c>
      <c r="E201" s="267">
        <v>0</v>
      </c>
      <c r="F201" s="268" t="str">
        <f t="shared" si="2"/>
        <v>-</v>
      </c>
    </row>
    <row r="202" spans="1:6" ht="14.1" customHeight="1" x14ac:dyDescent="0.25">
      <c r="A202" s="264" t="s">
        <v>2336</v>
      </c>
      <c r="B202" s="337" t="s">
        <v>2337</v>
      </c>
      <c r="C202" s="266">
        <v>191</v>
      </c>
      <c r="D202" s="267">
        <v>0</v>
      </c>
      <c r="E202" s="267">
        <v>0</v>
      </c>
      <c r="F202" s="268" t="str">
        <f t="shared" si="2"/>
        <v>-</v>
      </c>
    </row>
    <row r="203" spans="1:6" ht="14.1" customHeight="1" x14ac:dyDescent="0.25">
      <c r="A203" s="264"/>
      <c r="B203" s="265" t="s">
        <v>2338</v>
      </c>
      <c r="C203" s="266">
        <v>192</v>
      </c>
      <c r="D203" s="273">
        <f>SUM(D204:D212)</f>
        <v>0</v>
      </c>
      <c r="E203" s="273">
        <f>SUM(E204:E212)</f>
        <v>0</v>
      </c>
      <c r="F203" s="268" t="str">
        <f t="shared" si="2"/>
        <v>-</v>
      </c>
    </row>
    <row r="204" spans="1:6" ht="14.1" customHeight="1" x14ac:dyDescent="0.25">
      <c r="A204" s="264" t="s">
        <v>2339</v>
      </c>
      <c r="B204" s="265" t="s">
        <v>2340</v>
      </c>
      <c r="C204" s="266">
        <v>193</v>
      </c>
      <c r="D204" s="267">
        <v>0</v>
      </c>
      <c r="E204" s="267">
        <v>0</v>
      </c>
      <c r="F204" s="268" t="str">
        <f t="shared" si="2"/>
        <v>-</v>
      </c>
    </row>
    <row r="205" spans="1:6" ht="14.1" customHeight="1" x14ac:dyDescent="0.25">
      <c r="A205" s="264" t="s">
        <v>2341</v>
      </c>
      <c r="B205" s="265" t="s">
        <v>2342</v>
      </c>
      <c r="C205" s="266">
        <v>194</v>
      </c>
      <c r="D205" s="267">
        <v>0</v>
      </c>
      <c r="E205" s="267">
        <v>0</v>
      </c>
      <c r="F205" s="268" t="str">
        <f t="shared" si="2"/>
        <v>-</v>
      </c>
    </row>
    <row r="206" spans="1:6" ht="14.1" customHeight="1" x14ac:dyDescent="0.25">
      <c r="A206" s="264">
        <v>2615</v>
      </c>
      <c r="B206" s="265" t="s">
        <v>2343</v>
      </c>
      <c r="C206" s="266">
        <v>195</v>
      </c>
      <c r="D206" s="267">
        <v>0</v>
      </c>
      <c r="E206" s="267">
        <v>0</v>
      </c>
      <c r="F206" s="268" t="str">
        <f t="shared" si="2"/>
        <v>-</v>
      </c>
    </row>
    <row r="207" spans="1:6" ht="14.1" customHeight="1" x14ac:dyDescent="0.25">
      <c r="A207" s="264">
        <v>2616</v>
      </c>
      <c r="B207" s="265" t="s">
        <v>2344</v>
      </c>
      <c r="C207" s="266">
        <v>196</v>
      </c>
      <c r="D207" s="267">
        <v>0</v>
      </c>
      <c r="E207" s="267">
        <v>0</v>
      </c>
      <c r="F207" s="268" t="str">
        <f t="shared" si="2"/>
        <v>-</v>
      </c>
    </row>
    <row r="208" spans="1:6" ht="14.1" customHeight="1" x14ac:dyDescent="0.25">
      <c r="A208" s="264">
        <v>2646</v>
      </c>
      <c r="B208" s="265" t="s">
        <v>2345</v>
      </c>
      <c r="C208" s="266">
        <v>197</v>
      </c>
      <c r="D208" s="267">
        <v>0</v>
      </c>
      <c r="E208" s="267">
        <v>0</v>
      </c>
      <c r="F208" s="268" t="str">
        <f t="shared" si="2"/>
        <v>-</v>
      </c>
    </row>
    <row r="209" spans="1:6" ht="14.1" customHeight="1" x14ac:dyDescent="0.25">
      <c r="A209" s="264">
        <v>2647</v>
      </c>
      <c r="B209" s="265" t="s">
        <v>2346</v>
      </c>
      <c r="C209" s="266">
        <v>198</v>
      </c>
      <c r="D209" s="267">
        <v>0</v>
      </c>
      <c r="E209" s="267">
        <v>0</v>
      </c>
      <c r="F209" s="268" t="str">
        <f t="shared" si="2"/>
        <v>-</v>
      </c>
    </row>
    <row r="210" spans="1:6" ht="14.1" customHeight="1" x14ac:dyDescent="0.25">
      <c r="A210" s="264">
        <v>2648</v>
      </c>
      <c r="B210" s="265" t="s">
        <v>2347</v>
      </c>
      <c r="C210" s="266">
        <v>199</v>
      </c>
      <c r="D210" s="267">
        <v>0</v>
      </c>
      <c r="E210" s="267">
        <v>0</v>
      </c>
      <c r="F210" s="268" t="str">
        <f t="shared" si="2"/>
        <v>-</v>
      </c>
    </row>
    <row r="211" spans="1:6" ht="14.1" customHeight="1" x14ac:dyDescent="0.25">
      <c r="A211" s="264">
        <v>2655</v>
      </c>
      <c r="B211" s="265" t="s">
        <v>2348</v>
      </c>
      <c r="C211" s="266">
        <v>200</v>
      </c>
      <c r="D211" s="267">
        <v>0</v>
      </c>
      <c r="E211" s="267">
        <v>0</v>
      </c>
      <c r="F211" s="268" t="str">
        <f t="shared" si="2"/>
        <v>-</v>
      </c>
    </row>
    <row r="212" spans="1:6" ht="14.1" customHeight="1" x14ac:dyDescent="0.25">
      <c r="A212" s="264">
        <v>2656</v>
      </c>
      <c r="B212" s="265" t="s">
        <v>2349</v>
      </c>
      <c r="C212" s="266">
        <v>201</v>
      </c>
      <c r="D212" s="267">
        <v>0</v>
      </c>
      <c r="E212" s="267">
        <v>0</v>
      </c>
      <c r="F212" s="268" t="str">
        <f t="shared" si="2"/>
        <v>-</v>
      </c>
    </row>
    <row r="213" spans="1:6" ht="14.1" customHeight="1" x14ac:dyDescent="0.25">
      <c r="A213" s="264" t="s">
        <v>263</v>
      </c>
      <c r="B213" s="265" t="s">
        <v>914</v>
      </c>
      <c r="C213" s="266">
        <v>202</v>
      </c>
      <c r="D213" s="273">
        <f>SUM(D214:D215)</f>
        <v>0</v>
      </c>
      <c r="E213" s="273">
        <f>SUM(E214:E215)</f>
        <v>0</v>
      </c>
      <c r="F213" s="268" t="str">
        <f t="shared" si="2"/>
        <v>-</v>
      </c>
    </row>
    <row r="214" spans="1:6" ht="14.1" customHeight="1" x14ac:dyDescent="0.25">
      <c r="A214" s="264" t="s">
        <v>264</v>
      </c>
      <c r="B214" s="265" t="s">
        <v>265</v>
      </c>
      <c r="C214" s="266">
        <v>203</v>
      </c>
      <c r="D214" s="267">
        <v>0</v>
      </c>
      <c r="E214" s="267">
        <v>0</v>
      </c>
      <c r="F214" s="268" t="str">
        <f t="shared" si="2"/>
        <v>-</v>
      </c>
    </row>
    <row r="215" spans="1:6" ht="14.1" customHeight="1" x14ac:dyDescent="0.25">
      <c r="A215" s="264" t="s">
        <v>266</v>
      </c>
      <c r="B215" s="265" t="s">
        <v>267</v>
      </c>
      <c r="C215" s="266">
        <v>204</v>
      </c>
      <c r="D215" s="267">
        <v>0</v>
      </c>
      <c r="E215" s="267">
        <v>0</v>
      </c>
      <c r="F215" s="268" t="str">
        <f t="shared" si="2"/>
        <v>-</v>
      </c>
    </row>
    <row r="216" spans="1:6" ht="14.1" customHeight="1" x14ac:dyDescent="0.25">
      <c r="A216" s="264" t="s">
        <v>268</v>
      </c>
      <c r="B216" s="265" t="s">
        <v>915</v>
      </c>
      <c r="C216" s="266">
        <v>205</v>
      </c>
      <c r="D216" s="273">
        <f>D217+D225-D229+D233+D234+D235</f>
        <v>9277880</v>
      </c>
      <c r="E216" s="273">
        <f>E217+E225-E229+E233+E234+E235</f>
        <v>8938489</v>
      </c>
      <c r="F216" s="268">
        <f t="shared" si="2"/>
        <v>96.341933717616527</v>
      </c>
    </row>
    <row r="217" spans="1:6" ht="14.1" customHeight="1" x14ac:dyDescent="0.25">
      <c r="A217" s="264" t="s">
        <v>986</v>
      </c>
      <c r="B217" s="265" t="s">
        <v>916</v>
      </c>
      <c r="C217" s="266">
        <v>206</v>
      </c>
      <c r="D217" s="273">
        <f>D218-D221</f>
        <v>8927974</v>
      </c>
      <c r="E217" s="273">
        <f>E218-E221</f>
        <v>8678816</v>
      </c>
      <c r="F217" s="268">
        <f t="shared" si="2"/>
        <v>97.209243664912108</v>
      </c>
    </row>
    <row r="218" spans="1:6" ht="14.1" customHeight="1" x14ac:dyDescent="0.25">
      <c r="A218" s="264" t="s">
        <v>987</v>
      </c>
      <c r="B218" s="265" t="s">
        <v>917</v>
      </c>
      <c r="C218" s="266">
        <v>207</v>
      </c>
      <c r="D218" s="273">
        <f>SUM(D219:D220)</f>
        <v>8927974</v>
      </c>
      <c r="E218" s="273">
        <f>SUM(E219:E220)</f>
        <v>8678816</v>
      </c>
      <c r="F218" s="268">
        <f t="shared" si="2"/>
        <v>97.209243664912108</v>
      </c>
    </row>
    <row r="219" spans="1:6" ht="14.1" customHeight="1" x14ac:dyDescent="0.25">
      <c r="A219" s="264" t="s">
        <v>988</v>
      </c>
      <c r="B219" s="265" t="s">
        <v>989</v>
      </c>
      <c r="C219" s="266">
        <v>208</v>
      </c>
      <c r="D219" s="267">
        <v>8927974</v>
      </c>
      <c r="E219" s="267">
        <v>8678816</v>
      </c>
      <c r="F219" s="268">
        <f t="shared" si="2"/>
        <v>97.209243664912108</v>
      </c>
    </row>
    <row r="220" spans="1:6" ht="14.1" customHeight="1" x14ac:dyDescent="0.25">
      <c r="A220" s="264" t="s">
        <v>990</v>
      </c>
      <c r="B220" s="265" t="s">
        <v>991</v>
      </c>
      <c r="C220" s="266">
        <v>209</v>
      </c>
      <c r="D220" s="267">
        <v>0</v>
      </c>
      <c r="E220" s="267">
        <v>0</v>
      </c>
      <c r="F220" s="268" t="str">
        <f t="shared" si="2"/>
        <v>-</v>
      </c>
    </row>
    <row r="221" spans="1:6" ht="14.1" customHeight="1" x14ac:dyDescent="0.25">
      <c r="A221" s="264" t="s">
        <v>992</v>
      </c>
      <c r="B221" s="265" t="s">
        <v>918</v>
      </c>
      <c r="C221" s="266">
        <v>210</v>
      </c>
      <c r="D221" s="273">
        <f>SUM(D222:D223)</f>
        <v>0</v>
      </c>
      <c r="E221" s="273">
        <f>SUM(E222:E223)</f>
        <v>0</v>
      </c>
      <c r="F221" s="268" t="str">
        <f t="shared" si="2"/>
        <v>-</v>
      </c>
    </row>
    <row r="222" spans="1:6" ht="14.1" customHeight="1" x14ac:dyDescent="0.25">
      <c r="A222" s="264" t="s">
        <v>993</v>
      </c>
      <c r="B222" s="265" t="s">
        <v>994</v>
      </c>
      <c r="C222" s="266">
        <v>211</v>
      </c>
      <c r="D222" s="267">
        <v>0</v>
      </c>
      <c r="E222" s="267">
        <v>0</v>
      </c>
      <c r="F222" s="268" t="str">
        <f t="shared" si="2"/>
        <v>-</v>
      </c>
    </row>
    <row r="223" spans="1:6" ht="14.1" customHeight="1" x14ac:dyDescent="0.25">
      <c r="A223" s="264" t="s">
        <v>995</v>
      </c>
      <c r="B223" s="265" t="s">
        <v>1034</v>
      </c>
      <c r="C223" s="266">
        <v>212</v>
      </c>
      <c r="D223" s="267">
        <v>0</v>
      </c>
      <c r="E223" s="267">
        <v>0</v>
      </c>
      <c r="F223" s="268" t="str">
        <f t="shared" ref="F223:F228" si="4">IF(D223&gt;0,IF(E223/D223&gt;=100,"&gt;&gt;100",E223/D223*100),"-")</f>
        <v>-</v>
      </c>
    </row>
    <row r="224" spans="1:6" ht="14.1" customHeight="1" x14ac:dyDescent="0.25">
      <c r="A224" s="264" t="s">
        <v>1035</v>
      </c>
      <c r="B224" s="265" t="s">
        <v>1036</v>
      </c>
      <c r="C224" s="266">
        <v>213</v>
      </c>
      <c r="D224" s="267">
        <v>0</v>
      </c>
      <c r="E224" s="267">
        <v>0</v>
      </c>
      <c r="F224" s="268" t="str">
        <f t="shared" si="4"/>
        <v>-</v>
      </c>
    </row>
    <row r="225" spans="1:6" ht="14.1" customHeight="1" x14ac:dyDescent="0.25">
      <c r="A225" s="264" t="s">
        <v>1037</v>
      </c>
      <c r="B225" s="265" t="s">
        <v>919</v>
      </c>
      <c r="C225" s="266">
        <v>214</v>
      </c>
      <c r="D225" s="273">
        <f>SUM(D226:D228)</f>
        <v>1448714</v>
      </c>
      <c r="E225" s="273">
        <f>SUM(E226:E228)</f>
        <v>1399999</v>
      </c>
      <c r="F225" s="268">
        <f t="shared" si="4"/>
        <v>96.637362515996955</v>
      </c>
    </row>
    <row r="226" spans="1:6" ht="14.1" customHeight="1" x14ac:dyDescent="0.25">
      <c r="A226" s="264" t="s">
        <v>83</v>
      </c>
      <c r="B226" s="265" t="s">
        <v>1038</v>
      </c>
      <c r="C226" s="266">
        <v>215</v>
      </c>
      <c r="D226" s="267">
        <v>1448714</v>
      </c>
      <c r="E226" s="267">
        <v>1399999</v>
      </c>
      <c r="F226" s="268">
        <f t="shared" si="4"/>
        <v>96.637362515996955</v>
      </c>
    </row>
    <row r="227" spans="1:6" ht="14.1" customHeight="1" x14ac:dyDescent="0.25">
      <c r="A227" s="264" t="s">
        <v>3695</v>
      </c>
      <c r="B227" s="265" t="s">
        <v>1039</v>
      </c>
      <c r="C227" s="266">
        <v>216</v>
      </c>
      <c r="D227" s="267">
        <v>0</v>
      </c>
      <c r="E227" s="267">
        <v>0</v>
      </c>
      <c r="F227" s="268" t="str">
        <f t="shared" si="4"/>
        <v>-</v>
      </c>
    </row>
    <row r="228" spans="1:6" ht="14.1" customHeight="1" x14ac:dyDescent="0.25">
      <c r="A228" s="264" t="s">
        <v>1568</v>
      </c>
      <c r="B228" s="265" t="s">
        <v>1040</v>
      </c>
      <c r="C228" s="266">
        <v>217</v>
      </c>
      <c r="D228" s="267">
        <v>0</v>
      </c>
      <c r="E228" s="267">
        <v>0</v>
      </c>
      <c r="F228" s="268" t="str">
        <f t="shared" si="4"/>
        <v>-</v>
      </c>
    </row>
    <row r="229" spans="1:6" ht="14.1" customHeight="1" x14ac:dyDescent="0.25">
      <c r="A229" s="264" t="s">
        <v>1041</v>
      </c>
      <c r="B229" s="265" t="s">
        <v>920</v>
      </c>
      <c r="C229" s="266">
        <v>218</v>
      </c>
      <c r="D229" s="273">
        <f>SUM(D230:D232)</f>
        <v>1218698</v>
      </c>
      <c r="E229" s="273">
        <f>SUM(E230:E232)</f>
        <v>1295729</v>
      </c>
      <c r="F229" s="268">
        <f t="shared" si="2"/>
        <v>106.32076199353737</v>
      </c>
    </row>
    <row r="230" spans="1:6" ht="14.1" customHeight="1" x14ac:dyDescent="0.25">
      <c r="A230" s="264" t="s">
        <v>2450</v>
      </c>
      <c r="B230" s="265" t="s">
        <v>1042</v>
      </c>
      <c r="C230" s="266">
        <v>219</v>
      </c>
      <c r="D230" s="267">
        <v>0</v>
      </c>
      <c r="E230" s="267">
        <v>0</v>
      </c>
      <c r="F230" s="268" t="str">
        <f t="shared" si="2"/>
        <v>-</v>
      </c>
    </row>
    <row r="231" spans="1:6" ht="14.1" customHeight="1" x14ac:dyDescent="0.25">
      <c r="A231" s="264" t="s">
        <v>3697</v>
      </c>
      <c r="B231" s="265" t="s">
        <v>1043</v>
      </c>
      <c r="C231" s="266">
        <v>220</v>
      </c>
      <c r="D231" s="267">
        <v>1152798</v>
      </c>
      <c r="E231" s="267">
        <v>1229829</v>
      </c>
      <c r="F231" s="268">
        <f t="shared" si="2"/>
        <v>106.68209001056559</v>
      </c>
    </row>
    <row r="232" spans="1:6" ht="14.1" customHeight="1" x14ac:dyDescent="0.25">
      <c r="A232" s="264" t="s">
        <v>3989</v>
      </c>
      <c r="B232" s="265" t="s">
        <v>1044</v>
      </c>
      <c r="C232" s="266">
        <v>221</v>
      </c>
      <c r="D232" s="267">
        <v>65900</v>
      </c>
      <c r="E232" s="267">
        <v>65900</v>
      </c>
      <c r="F232" s="268">
        <f t="shared" si="2"/>
        <v>100</v>
      </c>
    </row>
    <row r="233" spans="1:6" ht="14.1" customHeight="1" x14ac:dyDescent="0.25">
      <c r="A233" s="264" t="s">
        <v>2452</v>
      </c>
      <c r="B233" s="265" t="s">
        <v>1045</v>
      </c>
      <c r="C233" s="266">
        <v>222</v>
      </c>
      <c r="D233" s="267">
        <v>119890</v>
      </c>
      <c r="E233" s="267">
        <v>155403</v>
      </c>
      <c r="F233" s="268">
        <f t="shared" si="2"/>
        <v>129.62131954291434</v>
      </c>
    </row>
    <row r="234" spans="1:6" ht="14.1" customHeight="1" x14ac:dyDescent="0.25">
      <c r="A234" s="264" t="s">
        <v>3699</v>
      </c>
      <c r="B234" s="265" t="s">
        <v>1109</v>
      </c>
      <c r="C234" s="266">
        <v>223</v>
      </c>
      <c r="D234" s="267">
        <v>0</v>
      </c>
      <c r="E234" s="267">
        <v>0</v>
      </c>
      <c r="F234" s="268" t="str">
        <f t="shared" si="2"/>
        <v>-</v>
      </c>
    </row>
    <row r="235" spans="1:6" ht="14.1" customHeight="1" x14ac:dyDescent="0.25">
      <c r="A235" s="264" t="s">
        <v>1110</v>
      </c>
      <c r="B235" s="265" t="s">
        <v>1111</v>
      </c>
      <c r="C235" s="266">
        <v>224</v>
      </c>
      <c r="D235" s="267">
        <v>0</v>
      </c>
      <c r="E235" s="267">
        <v>0</v>
      </c>
      <c r="F235" s="268" t="str">
        <f t="shared" si="2"/>
        <v>-</v>
      </c>
    </row>
    <row r="236" spans="1:6" ht="14.1" customHeight="1" x14ac:dyDescent="0.25">
      <c r="A236" s="264" t="s">
        <v>1112</v>
      </c>
      <c r="B236" s="265" t="s">
        <v>1113</v>
      </c>
      <c r="C236" s="266">
        <v>225</v>
      </c>
      <c r="D236" s="273">
        <v>0</v>
      </c>
      <c r="E236" s="273">
        <v>0</v>
      </c>
      <c r="F236" s="268" t="str">
        <f t="shared" si="2"/>
        <v>-</v>
      </c>
    </row>
    <row r="237" spans="1:6" ht="14.1" customHeight="1" x14ac:dyDescent="0.25">
      <c r="A237" s="264" t="s">
        <v>1114</v>
      </c>
      <c r="B237" s="265" t="s">
        <v>921</v>
      </c>
      <c r="C237" s="266">
        <v>226</v>
      </c>
      <c r="D237" s="273">
        <f>D238</f>
        <v>0</v>
      </c>
      <c r="E237" s="273">
        <f>E238</f>
        <v>0</v>
      </c>
      <c r="F237" s="268" t="str">
        <f t="shared" si="2"/>
        <v>-</v>
      </c>
    </row>
    <row r="238" spans="1:6" ht="14.1" customHeight="1" x14ac:dyDescent="0.25">
      <c r="A238" s="269" t="s">
        <v>3175</v>
      </c>
      <c r="B238" s="270" t="s">
        <v>3176</v>
      </c>
      <c r="C238" s="271">
        <v>227</v>
      </c>
      <c r="D238" s="267">
        <v>0</v>
      </c>
      <c r="E238" s="267">
        <v>0</v>
      </c>
      <c r="F238" s="272" t="str">
        <f t="shared" si="2"/>
        <v>-</v>
      </c>
    </row>
    <row r="239" spans="1:6" ht="18" customHeight="1" x14ac:dyDescent="0.25">
      <c r="A239" s="548" t="s">
        <v>4274</v>
      </c>
      <c r="B239" s="549"/>
      <c r="C239" s="549"/>
      <c r="D239" s="549"/>
      <c r="E239" s="573"/>
      <c r="F239" s="574"/>
    </row>
    <row r="240" spans="1:6" ht="14.1" customHeight="1" x14ac:dyDescent="0.25">
      <c r="A240" s="260">
        <v>13411</v>
      </c>
      <c r="B240" s="261" t="s">
        <v>387</v>
      </c>
      <c r="C240" s="262">
        <v>228</v>
      </c>
      <c r="D240" s="267">
        <v>0</v>
      </c>
      <c r="E240" s="267">
        <v>0</v>
      </c>
      <c r="F240" s="263" t="str">
        <f t="shared" si="2"/>
        <v>-</v>
      </c>
    </row>
    <row r="241" spans="1:6" ht="14.1" customHeight="1" x14ac:dyDescent="0.25">
      <c r="A241" s="264">
        <v>13412</v>
      </c>
      <c r="B241" s="265" t="s">
        <v>388</v>
      </c>
      <c r="C241" s="266">
        <v>229</v>
      </c>
      <c r="D241" s="267">
        <v>0</v>
      </c>
      <c r="E241" s="267">
        <v>0</v>
      </c>
      <c r="F241" s="268" t="str">
        <f t="shared" si="2"/>
        <v>-</v>
      </c>
    </row>
    <row r="242" spans="1:6" ht="14.1" customHeight="1" x14ac:dyDescent="0.25">
      <c r="A242" s="264">
        <v>13631</v>
      </c>
      <c r="B242" s="265" t="s">
        <v>389</v>
      </c>
      <c r="C242" s="266">
        <v>230</v>
      </c>
      <c r="D242" s="267">
        <v>0</v>
      </c>
      <c r="E242" s="267">
        <v>0</v>
      </c>
      <c r="F242" s="268" t="str">
        <f t="shared" si="2"/>
        <v>-</v>
      </c>
    </row>
    <row r="243" spans="1:6" ht="14.1" customHeight="1" x14ac:dyDescent="0.25">
      <c r="A243" s="264">
        <v>13632</v>
      </c>
      <c r="B243" s="265" t="s">
        <v>390</v>
      </c>
      <c r="C243" s="266">
        <v>231</v>
      </c>
      <c r="D243" s="267">
        <v>0</v>
      </c>
      <c r="E243" s="267">
        <v>0</v>
      </c>
      <c r="F243" s="268" t="str">
        <f t="shared" ref="F243:F274" si="5">IF(D243&gt;0,IF(E243/D243&gt;=100,"&gt;&gt;100",E243/D243*100),"-")</f>
        <v>-</v>
      </c>
    </row>
    <row r="244" spans="1:6" ht="14.1" customHeight="1" x14ac:dyDescent="0.25">
      <c r="A244" s="264">
        <v>13641</v>
      </c>
      <c r="B244" s="265" t="s">
        <v>391</v>
      </c>
      <c r="C244" s="266">
        <v>232</v>
      </c>
      <c r="D244" s="267">
        <v>0</v>
      </c>
      <c r="E244" s="267">
        <v>0</v>
      </c>
      <c r="F244" s="268" t="str">
        <f t="shared" si="5"/>
        <v>-</v>
      </c>
    </row>
    <row r="245" spans="1:6" ht="14.1" customHeight="1" x14ac:dyDescent="0.25">
      <c r="A245" s="264">
        <v>13642</v>
      </c>
      <c r="B245" s="265" t="s">
        <v>392</v>
      </c>
      <c r="C245" s="266">
        <v>233</v>
      </c>
      <c r="D245" s="267">
        <v>0</v>
      </c>
      <c r="E245" s="267">
        <v>0</v>
      </c>
      <c r="F245" s="268" t="str">
        <f t="shared" si="5"/>
        <v>-</v>
      </c>
    </row>
    <row r="246" spans="1:6" ht="14.1" customHeight="1" x14ac:dyDescent="0.25">
      <c r="A246" s="264">
        <v>13711</v>
      </c>
      <c r="B246" s="265" t="s">
        <v>393</v>
      </c>
      <c r="C246" s="266">
        <v>234</v>
      </c>
      <c r="D246" s="267">
        <v>0</v>
      </c>
      <c r="E246" s="267">
        <v>0</v>
      </c>
      <c r="F246" s="268" t="str">
        <f t="shared" si="5"/>
        <v>-</v>
      </c>
    </row>
    <row r="247" spans="1:6" ht="14.1" customHeight="1" x14ac:dyDescent="0.25">
      <c r="A247" s="264">
        <v>13712</v>
      </c>
      <c r="B247" s="265" t="s">
        <v>394</v>
      </c>
      <c r="C247" s="266">
        <v>235</v>
      </c>
      <c r="D247" s="267">
        <v>0</v>
      </c>
      <c r="E247" s="267">
        <v>0</v>
      </c>
      <c r="F247" s="268" t="str">
        <f t="shared" si="5"/>
        <v>-</v>
      </c>
    </row>
    <row r="248" spans="1:6" ht="14.1" customHeight="1" x14ac:dyDescent="0.25">
      <c r="A248" s="264">
        <v>13721</v>
      </c>
      <c r="B248" s="265" t="s">
        <v>395</v>
      </c>
      <c r="C248" s="266">
        <v>236</v>
      </c>
      <c r="D248" s="267">
        <v>0</v>
      </c>
      <c r="E248" s="267">
        <v>0</v>
      </c>
      <c r="F248" s="268" t="str">
        <f t="shared" si="5"/>
        <v>-</v>
      </c>
    </row>
    <row r="249" spans="1:6" ht="14.1" customHeight="1" x14ac:dyDescent="0.25">
      <c r="A249" s="264">
        <v>13722</v>
      </c>
      <c r="B249" s="265" t="s">
        <v>1442</v>
      </c>
      <c r="C249" s="266">
        <v>237</v>
      </c>
      <c r="D249" s="267">
        <v>0</v>
      </c>
      <c r="E249" s="267">
        <v>0</v>
      </c>
      <c r="F249" s="268" t="str">
        <f t="shared" ref="F249:F259" si="6">IF(D249&gt;0,IF(E249/D249&gt;=100,"&gt;&gt;100",E249/D249*100),"-")</f>
        <v>-</v>
      </c>
    </row>
    <row r="250" spans="1:6" ht="14.1" customHeight="1" x14ac:dyDescent="0.25">
      <c r="A250" s="264" t="s">
        <v>924</v>
      </c>
      <c r="B250" s="265" t="s">
        <v>1443</v>
      </c>
      <c r="C250" s="266">
        <v>238</v>
      </c>
      <c r="D250" s="267">
        <v>0</v>
      </c>
      <c r="E250" s="267">
        <v>0</v>
      </c>
      <c r="F250" s="268" t="str">
        <f t="shared" si="6"/>
        <v>-</v>
      </c>
    </row>
    <row r="251" spans="1:6" ht="14.1" customHeight="1" x14ac:dyDescent="0.25">
      <c r="A251" s="264" t="s">
        <v>925</v>
      </c>
      <c r="B251" s="265" t="s">
        <v>1444</v>
      </c>
      <c r="C251" s="266">
        <v>239</v>
      </c>
      <c r="D251" s="267">
        <v>0</v>
      </c>
      <c r="E251" s="267">
        <v>0</v>
      </c>
      <c r="F251" s="268" t="str">
        <f t="shared" si="6"/>
        <v>-</v>
      </c>
    </row>
    <row r="252" spans="1:6" ht="14.1" customHeight="1" x14ac:dyDescent="0.25">
      <c r="A252" s="264" t="s">
        <v>926</v>
      </c>
      <c r="B252" s="265" t="s">
        <v>1445</v>
      </c>
      <c r="C252" s="266">
        <v>240</v>
      </c>
      <c r="D252" s="267">
        <v>0</v>
      </c>
      <c r="E252" s="267">
        <v>0</v>
      </c>
      <c r="F252" s="268" t="str">
        <f t="shared" si="6"/>
        <v>-</v>
      </c>
    </row>
    <row r="253" spans="1:6" ht="14.1" customHeight="1" x14ac:dyDescent="0.25">
      <c r="A253" s="264" t="s">
        <v>927</v>
      </c>
      <c r="B253" s="265" t="s">
        <v>1446</v>
      </c>
      <c r="C253" s="266">
        <v>241</v>
      </c>
      <c r="D253" s="267">
        <v>0</v>
      </c>
      <c r="E253" s="267">
        <v>0</v>
      </c>
      <c r="F253" s="268" t="str">
        <f t="shared" si="6"/>
        <v>-</v>
      </c>
    </row>
    <row r="254" spans="1:6" ht="14.1" customHeight="1" x14ac:dyDescent="0.25">
      <c r="A254" s="264" t="s">
        <v>928</v>
      </c>
      <c r="B254" s="265" t="s">
        <v>929</v>
      </c>
      <c r="C254" s="266">
        <v>242</v>
      </c>
      <c r="D254" s="267">
        <v>0</v>
      </c>
      <c r="E254" s="267">
        <v>0</v>
      </c>
      <c r="F254" s="268" t="str">
        <f t="shared" si="6"/>
        <v>-</v>
      </c>
    </row>
    <row r="255" spans="1:6" ht="14.1" customHeight="1" x14ac:dyDescent="0.25">
      <c r="A255" s="264" t="s">
        <v>930</v>
      </c>
      <c r="B255" s="265" t="s">
        <v>931</v>
      </c>
      <c r="C255" s="266">
        <v>243</v>
      </c>
      <c r="D255" s="267">
        <v>0</v>
      </c>
      <c r="E255" s="267">
        <v>0</v>
      </c>
      <c r="F255" s="268" t="str">
        <f t="shared" si="6"/>
        <v>-</v>
      </c>
    </row>
    <row r="256" spans="1:6" ht="14.1" customHeight="1" x14ac:dyDescent="0.25">
      <c r="A256" s="264" t="s">
        <v>932</v>
      </c>
      <c r="B256" s="265" t="s">
        <v>1449</v>
      </c>
      <c r="C256" s="266">
        <v>244</v>
      </c>
      <c r="D256" s="267">
        <v>0</v>
      </c>
      <c r="E256" s="267">
        <v>0</v>
      </c>
      <c r="F256" s="268" t="str">
        <f t="shared" si="6"/>
        <v>-</v>
      </c>
    </row>
    <row r="257" spans="1:6" ht="14.1" customHeight="1" x14ac:dyDescent="0.25">
      <c r="A257" s="264" t="s">
        <v>933</v>
      </c>
      <c r="B257" s="265" t="s">
        <v>1450</v>
      </c>
      <c r="C257" s="266">
        <v>245</v>
      </c>
      <c r="D257" s="267">
        <v>0</v>
      </c>
      <c r="E257" s="267">
        <v>0</v>
      </c>
      <c r="F257" s="268" t="str">
        <f t="shared" si="6"/>
        <v>-</v>
      </c>
    </row>
    <row r="258" spans="1:6" ht="14.1" customHeight="1" x14ac:dyDescent="0.25">
      <c r="A258" s="264" t="s">
        <v>934</v>
      </c>
      <c r="B258" s="337" t="s">
        <v>1451</v>
      </c>
      <c r="C258" s="266">
        <v>246</v>
      </c>
      <c r="D258" s="267">
        <v>0</v>
      </c>
      <c r="E258" s="267">
        <v>0</v>
      </c>
      <c r="F258" s="268" t="str">
        <f t="shared" si="6"/>
        <v>-</v>
      </c>
    </row>
    <row r="259" spans="1:6" ht="14.1" customHeight="1" x14ac:dyDescent="0.25">
      <c r="A259" s="264" t="s">
        <v>935</v>
      </c>
      <c r="B259" s="337" t="s">
        <v>1452</v>
      </c>
      <c r="C259" s="266">
        <v>247</v>
      </c>
      <c r="D259" s="267">
        <v>0</v>
      </c>
      <c r="E259" s="267">
        <v>0</v>
      </c>
      <c r="F259" s="268" t="str">
        <f t="shared" si="6"/>
        <v>-</v>
      </c>
    </row>
    <row r="260" spans="1:6" ht="14.1" customHeight="1" x14ac:dyDescent="0.25">
      <c r="A260" s="264" t="s">
        <v>936</v>
      </c>
      <c r="B260" s="265" t="s">
        <v>1454</v>
      </c>
      <c r="C260" s="266">
        <v>248</v>
      </c>
      <c r="D260" s="267">
        <v>0</v>
      </c>
      <c r="E260" s="267">
        <v>0</v>
      </c>
      <c r="F260" s="268" t="str">
        <f t="shared" si="5"/>
        <v>-</v>
      </c>
    </row>
    <row r="261" spans="1:6" ht="14.1" customHeight="1" x14ac:dyDescent="0.25">
      <c r="A261" s="264" t="s">
        <v>937</v>
      </c>
      <c r="B261" s="265" t="s">
        <v>1455</v>
      </c>
      <c r="C261" s="266">
        <v>249</v>
      </c>
      <c r="D261" s="267">
        <v>0</v>
      </c>
      <c r="E261" s="267">
        <v>0</v>
      </c>
      <c r="F261" s="268" t="str">
        <f t="shared" si="5"/>
        <v>-</v>
      </c>
    </row>
    <row r="262" spans="1:6" ht="14.1" customHeight="1" x14ac:dyDescent="0.25">
      <c r="A262" s="264" t="s">
        <v>938</v>
      </c>
      <c r="B262" s="265" t="s">
        <v>1456</v>
      </c>
      <c r="C262" s="266">
        <v>250</v>
      </c>
      <c r="D262" s="267">
        <v>0</v>
      </c>
      <c r="E262" s="267">
        <v>0</v>
      </c>
      <c r="F262" s="268" t="str">
        <f t="shared" si="5"/>
        <v>-</v>
      </c>
    </row>
    <row r="263" spans="1:6" ht="14.1" customHeight="1" x14ac:dyDescent="0.25">
      <c r="A263" s="264" t="s">
        <v>939</v>
      </c>
      <c r="B263" s="265" t="s">
        <v>1457</v>
      </c>
      <c r="C263" s="266">
        <v>251</v>
      </c>
      <c r="D263" s="267">
        <v>0</v>
      </c>
      <c r="E263" s="267">
        <v>0</v>
      </c>
      <c r="F263" s="268" t="str">
        <f t="shared" si="5"/>
        <v>-</v>
      </c>
    </row>
    <row r="264" spans="1:6" ht="14.1" customHeight="1" x14ac:dyDescent="0.25">
      <c r="A264" s="264" t="s">
        <v>940</v>
      </c>
      <c r="B264" s="265" t="s">
        <v>1458</v>
      </c>
      <c r="C264" s="266">
        <v>252</v>
      </c>
      <c r="D264" s="267">
        <v>0</v>
      </c>
      <c r="E264" s="267">
        <v>0</v>
      </c>
      <c r="F264" s="268" t="str">
        <f t="shared" si="5"/>
        <v>-</v>
      </c>
    </row>
    <row r="265" spans="1:6" ht="14.1" customHeight="1" x14ac:dyDescent="0.25">
      <c r="A265" s="264" t="s">
        <v>941</v>
      </c>
      <c r="B265" s="265" t="s">
        <v>1459</v>
      </c>
      <c r="C265" s="266">
        <v>253</v>
      </c>
      <c r="D265" s="267">
        <v>0</v>
      </c>
      <c r="E265" s="267">
        <v>0</v>
      </c>
      <c r="F265" s="268" t="str">
        <f t="shared" si="5"/>
        <v>-</v>
      </c>
    </row>
    <row r="266" spans="1:6" ht="14.1" customHeight="1" x14ac:dyDescent="0.25">
      <c r="A266" s="264" t="s">
        <v>942</v>
      </c>
      <c r="B266" s="265" t="s">
        <v>1460</v>
      </c>
      <c r="C266" s="266">
        <v>254</v>
      </c>
      <c r="D266" s="267">
        <v>0</v>
      </c>
      <c r="E266" s="267">
        <v>0</v>
      </c>
      <c r="F266" s="268" t="str">
        <f t="shared" si="5"/>
        <v>-</v>
      </c>
    </row>
    <row r="267" spans="1:6" ht="14.1" customHeight="1" x14ac:dyDescent="0.25">
      <c r="A267" s="264" t="s">
        <v>943</v>
      </c>
      <c r="B267" s="265" t="s">
        <v>1461</v>
      </c>
      <c r="C267" s="266">
        <v>255</v>
      </c>
      <c r="D267" s="267">
        <v>0</v>
      </c>
      <c r="E267" s="267">
        <v>0</v>
      </c>
      <c r="F267" s="268" t="str">
        <f t="shared" si="5"/>
        <v>-</v>
      </c>
    </row>
    <row r="268" spans="1:6" ht="14.1" customHeight="1" x14ac:dyDescent="0.25">
      <c r="A268" s="264" t="s">
        <v>944</v>
      </c>
      <c r="B268" s="265" t="s">
        <v>1462</v>
      </c>
      <c r="C268" s="266">
        <v>256</v>
      </c>
      <c r="D268" s="267">
        <v>0</v>
      </c>
      <c r="E268" s="267">
        <v>0</v>
      </c>
      <c r="F268" s="268" t="str">
        <f t="shared" si="5"/>
        <v>-</v>
      </c>
    </row>
    <row r="269" spans="1:6" ht="14.1" customHeight="1" x14ac:dyDescent="0.25">
      <c r="A269" s="264" t="s">
        <v>945</v>
      </c>
      <c r="B269" s="265" t="s">
        <v>1463</v>
      </c>
      <c r="C269" s="266">
        <v>257</v>
      </c>
      <c r="D269" s="267">
        <v>0</v>
      </c>
      <c r="E269" s="267">
        <v>0</v>
      </c>
      <c r="F269" s="268" t="str">
        <f t="shared" si="5"/>
        <v>-</v>
      </c>
    </row>
    <row r="270" spans="1:6" ht="14.1" customHeight="1" x14ac:dyDescent="0.25">
      <c r="A270" s="264" t="s">
        <v>946</v>
      </c>
      <c r="B270" s="337" t="s">
        <v>1464</v>
      </c>
      <c r="C270" s="266">
        <v>258</v>
      </c>
      <c r="D270" s="267">
        <v>0</v>
      </c>
      <c r="E270" s="267">
        <v>0</v>
      </c>
      <c r="F270" s="268" t="str">
        <f t="shared" si="5"/>
        <v>-</v>
      </c>
    </row>
    <row r="271" spans="1:6" ht="14.1" customHeight="1" x14ac:dyDescent="0.25">
      <c r="A271" s="264" t="s">
        <v>947</v>
      </c>
      <c r="B271" s="337" t="s">
        <v>1465</v>
      </c>
      <c r="C271" s="266">
        <v>259</v>
      </c>
      <c r="D271" s="267">
        <v>0</v>
      </c>
      <c r="E271" s="267">
        <v>0</v>
      </c>
      <c r="F271" s="268" t="str">
        <f>IF(D271&gt;0,IF(E271/D271&gt;=100,"&gt;&gt;100",E271/D271*100),"-")</f>
        <v>-</v>
      </c>
    </row>
    <row r="272" spans="1:6" ht="24.9" customHeight="1" x14ac:dyDescent="0.25">
      <c r="A272" s="264" t="s">
        <v>948</v>
      </c>
      <c r="B272" s="265" t="s">
        <v>4146</v>
      </c>
      <c r="C272" s="266">
        <v>260</v>
      </c>
      <c r="D272" s="267">
        <v>0</v>
      </c>
      <c r="E272" s="267">
        <v>0</v>
      </c>
      <c r="F272" s="268" t="str">
        <f t="shared" si="5"/>
        <v>-</v>
      </c>
    </row>
    <row r="273" spans="1:6" ht="24.9" customHeight="1" x14ac:dyDescent="0.25">
      <c r="A273" s="264" t="s">
        <v>949</v>
      </c>
      <c r="B273" s="265" t="s">
        <v>4147</v>
      </c>
      <c r="C273" s="266">
        <v>261</v>
      </c>
      <c r="D273" s="267">
        <v>0</v>
      </c>
      <c r="E273" s="267">
        <v>0</v>
      </c>
      <c r="F273" s="268" t="str">
        <f t="shared" si="5"/>
        <v>-</v>
      </c>
    </row>
    <row r="274" spans="1:6" ht="14.1" customHeight="1" x14ac:dyDescent="0.25">
      <c r="A274" s="269"/>
      <c r="B274" s="270" t="s">
        <v>950</v>
      </c>
      <c r="C274" s="271">
        <v>262</v>
      </c>
      <c r="D274" s="273">
        <f>SUM(D240:D273)</f>
        <v>0</v>
      </c>
      <c r="E274" s="273">
        <f>SUM(E240:E273)</f>
        <v>0</v>
      </c>
      <c r="F274" s="272" t="str">
        <f t="shared" si="5"/>
        <v>-</v>
      </c>
    </row>
    <row r="275" spans="1:6" ht="18" customHeight="1" x14ac:dyDescent="0.25">
      <c r="A275" s="548" t="s">
        <v>922</v>
      </c>
      <c r="B275" s="549"/>
      <c r="C275" s="549"/>
      <c r="D275" s="549"/>
      <c r="E275" s="573"/>
      <c r="F275" s="574"/>
    </row>
    <row r="276" spans="1:6" ht="14.1" customHeight="1" x14ac:dyDescent="0.25">
      <c r="A276" s="260"/>
      <c r="B276" s="261" t="s">
        <v>1540</v>
      </c>
      <c r="C276" s="262">
        <v>263</v>
      </c>
      <c r="D276" s="267">
        <v>0</v>
      </c>
      <c r="E276" s="267">
        <v>0</v>
      </c>
      <c r="F276" s="263" t="str">
        <f t="shared" ref="F276:F283" si="7">IF(D276&gt;0,IF(E276/D276&gt;=100,"&gt;&gt;100",E276/D276*100),"-")</f>
        <v>-</v>
      </c>
    </row>
    <row r="277" spans="1:6" ht="14.1" customHeight="1" x14ac:dyDescent="0.25">
      <c r="A277" s="264"/>
      <c r="B277" s="265" t="s">
        <v>1541</v>
      </c>
      <c r="C277" s="266">
        <v>264</v>
      </c>
      <c r="D277" s="267">
        <v>0</v>
      </c>
      <c r="E277" s="267">
        <v>0</v>
      </c>
      <c r="F277" s="268" t="str">
        <f t="shared" si="7"/>
        <v>-</v>
      </c>
    </row>
    <row r="278" spans="1:6" ht="14.1" customHeight="1" x14ac:dyDescent="0.25">
      <c r="A278" s="264"/>
      <c r="B278" s="265" t="s">
        <v>1542</v>
      </c>
      <c r="C278" s="266">
        <v>265</v>
      </c>
      <c r="D278" s="267">
        <v>0</v>
      </c>
      <c r="E278" s="267">
        <v>0</v>
      </c>
      <c r="F278" s="268" t="str">
        <f t="shared" si="7"/>
        <v>-</v>
      </c>
    </row>
    <row r="279" spans="1:6" ht="14.1" customHeight="1" x14ac:dyDescent="0.25">
      <c r="A279" s="264"/>
      <c r="B279" s="265" t="s">
        <v>1543</v>
      </c>
      <c r="C279" s="266">
        <v>266</v>
      </c>
      <c r="D279" s="267">
        <v>0</v>
      </c>
      <c r="E279" s="267">
        <v>0</v>
      </c>
      <c r="F279" s="268" t="str">
        <f t="shared" si="7"/>
        <v>-</v>
      </c>
    </row>
    <row r="280" spans="1:6" ht="14.1" customHeight="1" x14ac:dyDescent="0.25">
      <c r="A280" s="264"/>
      <c r="B280" s="265" t="s">
        <v>1544</v>
      </c>
      <c r="C280" s="266">
        <v>267</v>
      </c>
      <c r="D280" s="267">
        <v>0</v>
      </c>
      <c r="E280" s="267">
        <v>0</v>
      </c>
      <c r="F280" s="268" t="str">
        <f t="shared" si="7"/>
        <v>-</v>
      </c>
    </row>
    <row r="281" spans="1:6" ht="14.1" customHeight="1" x14ac:dyDescent="0.25">
      <c r="A281" s="264"/>
      <c r="B281" s="265" t="s">
        <v>951</v>
      </c>
      <c r="C281" s="266">
        <v>268</v>
      </c>
      <c r="D281" s="273">
        <f>D276+D279-D280</f>
        <v>0</v>
      </c>
      <c r="E281" s="273">
        <f>E276+E279-E280</f>
        <v>0</v>
      </c>
      <c r="F281" s="268" t="str">
        <f t="shared" si="7"/>
        <v>-</v>
      </c>
    </row>
    <row r="282" spans="1:6" ht="14.1" customHeight="1" x14ac:dyDescent="0.25">
      <c r="A282" s="264"/>
      <c r="B282" s="265" t="s">
        <v>952</v>
      </c>
      <c r="C282" s="266">
        <v>269</v>
      </c>
      <c r="D282" s="267">
        <v>0</v>
      </c>
      <c r="E282" s="267">
        <v>0</v>
      </c>
      <c r="F282" s="268" t="str">
        <f t="shared" si="7"/>
        <v>-</v>
      </c>
    </row>
    <row r="283" spans="1:6" ht="14.1" customHeight="1" x14ac:dyDescent="0.25">
      <c r="A283" s="269"/>
      <c r="B283" s="270" t="s">
        <v>953</v>
      </c>
      <c r="C283" s="271">
        <v>270</v>
      </c>
      <c r="D283" s="273">
        <f>SUM(D276:D282)</f>
        <v>0</v>
      </c>
      <c r="E283" s="273">
        <f>SUM(E276:E282)</f>
        <v>0</v>
      </c>
      <c r="F283" s="272" t="str">
        <f t="shared" si="7"/>
        <v>-</v>
      </c>
    </row>
    <row r="284" spans="1:6" ht="18" customHeight="1" x14ac:dyDescent="0.25">
      <c r="A284" s="548" t="s">
        <v>923</v>
      </c>
      <c r="B284" s="549"/>
      <c r="C284" s="549"/>
      <c r="D284" s="549"/>
      <c r="E284" s="573"/>
      <c r="F284" s="574"/>
    </row>
    <row r="285" spans="1:6" ht="14.1" customHeight="1" x14ac:dyDescent="0.25">
      <c r="A285" s="260"/>
      <c r="B285" s="261" t="s">
        <v>1467</v>
      </c>
      <c r="C285" s="262">
        <v>271</v>
      </c>
      <c r="D285" s="267">
        <v>0</v>
      </c>
      <c r="E285" s="267">
        <v>0</v>
      </c>
      <c r="F285" s="263" t="str">
        <f>IF(D285&gt;0,IF(E285/D285&gt;=100,"&gt;&gt;100",E285/D285*100),"-")</f>
        <v>-</v>
      </c>
    </row>
    <row r="286" spans="1:6" ht="14.1" customHeight="1" x14ac:dyDescent="0.25">
      <c r="A286" s="264"/>
      <c r="B286" s="265" t="s">
        <v>954</v>
      </c>
      <c r="C286" s="266">
        <v>272</v>
      </c>
      <c r="D286" s="267">
        <v>0</v>
      </c>
      <c r="E286" s="267">
        <v>0</v>
      </c>
      <c r="F286" s="268" t="str">
        <f>IF(D286&gt;0,IF(E286/D286&gt;=100,"&gt;&gt;100",E286/D286*100),"-")</f>
        <v>-</v>
      </c>
    </row>
    <row r="287" spans="1:6" ht="14.1" customHeight="1" x14ac:dyDescent="0.25">
      <c r="A287" s="264"/>
      <c r="B287" s="265" t="s">
        <v>955</v>
      </c>
      <c r="C287" s="266">
        <v>273</v>
      </c>
      <c r="D287" s="267">
        <v>0</v>
      </c>
      <c r="E287" s="267">
        <v>0</v>
      </c>
      <c r="F287" s="268" t="str">
        <f>IF(D287&gt;0,IF(E287/D287&gt;=100,"&gt;&gt;100",E287/D287*100),"-")</f>
        <v>-</v>
      </c>
    </row>
    <row r="288" spans="1:6" ht="14.1" customHeight="1" x14ac:dyDescent="0.25">
      <c r="A288" s="264"/>
      <c r="B288" s="265" t="s">
        <v>956</v>
      </c>
      <c r="C288" s="266">
        <v>274</v>
      </c>
      <c r="D288" s="273">
        <f>D285+D286-D287</f>
        <v>0</v>
      </c>
      <c r="E288" s="273">
        <f>E285+E286-E287</f>
        <v>0</v>
      </c>
      <c r="F288" s="268" t="str">
        <f>IF(D288&gt;0,IF(E288/D288&gt;=100,"&gt;&gt;100",E288/D288*100),"-")</f>
        <v>-</v>
      </c>
    </row>
    <row r="289" spans="1:6" ht="14.1" customHeight="1" x14ac:dyDescent="0.25">
      <c r="A289" s="269"/>
      <c r="B289" s="270" t="s">
        <v>957</v>
      </c>
      <c r="C289" s="271">
        <v>275</v>
      </c>
      <c r="D289" s="372">
        <f>SUM(D285:D288)</f>
        <v>0</v>
      </c>
      <c r="E289" s="372">
        <f>SUM(E285:E288)</f>
        <v>0</v>
      </c>
      <c r="F289" s="272" t="str">
        <f>IF(D289&gt;0,IF(E289/D289&gt;=100,"&gt;&gt;100",E289/D289*100),"-")</f>
        <v>-</v>
      </c>
    </row>
    <row r="290" spans="1:6" ht="5.0999999999999996" customHeight="1" x14ac:dyDescent="0.25"/>
  </sheetData>
  <sheetProtection password="C79A" sheet="1" objects="1" scenarios="1"/>
  <mergeCells count="12">
    <mergeCell ref="A3:D3"/>
    <mergeCell ref="A1:B1"/>
    <mergeCell ref="C1:F1"/>
    <mergeCell ref="E2:F2"/>
    <mergeCell ref="A2:D2"/>
    <mergeCell ref="A284:F284"/>
    <mergeCell ref="B4:F4"/>
    <mergeCell ref="B5:F5"/>
    <mergeCell ref="B6:F6"/>
    <mergeCell ref="B7:F7"/>
    <mergeCell ref="A239:F239"/>
    <mergeCell ref="A275:F275"/>
  </mergeCells>
  <phoneticPr fontId="10" type="noConversion"/>
  <conditionalFormatting sqref="D240:E274 D276:E283 D285:E289 D12:E238">
    <cfRule type="cellIs" dxfId="6" priority="1"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40:E274 D276:E283 D285:E289 D12:E238">
      <formula1>0</formula1>
    </dataValidation>
  </dataValidations>
  <hyperlinks>
    <hyperlink ref="C1:F1" location="Kont!A229" tooltip="Kontrole obrasca Bilanca" display="Kontrole ––––&gt;"/>
    <hyperlink ref="A1:B1" location="RefStr!A1" tooltip="Povratak na Referentnu stranicu" display="&lt;–––– Povratak na RefStr"/>
  </hyperlinks>
  <printOptions horizontalCentered="1"/>
  <pageMargins left="0.59055118110236227" right="0.59055118110236227" top="0.78740157480314965" bottom="0.78740157480314965" header="0.39370078740157483" footer="0.59055118110236227"/>
  <pageSetup paperSize="9" scale="76" fitToHeight="0" orientation="portrait"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pageSetUpPr fitToPage="1"/>
  </sheetPr>
  <dimension ref="A1:G136"/>
  <sheetViews>
    <sheetView showGridLines="0" showRowColHeaders="0" workbookViewId="0">
      <selection activeCell="C1" sqref="C1:D1"/>
    </sheetView>
  </sheetViews>
  <sheetFormatPr defaultColWidth="0" defaultRowHeight="13.2" zeroHeight="1" x14ac:dyDescent="0.25"/>
  <cols>
    <col min="1" max="1" width="14.33203125" style="4" customWidth="1"/>
    <col min="2" max="2" width="76.6640625" style="4" customWidth="1"/>
    <col min="3" max="3" width="4.33203125" style="4" customWidth="1"/>
    <col min="4" max="4" width="15.6640625" style="4" customWidth="1"/>
    <col min="5" max="5" width="0.88671875" style="2" hidden="1" customWidth="1"/>
    <col min="6" max="6" width="9.109375" style="2" hidden="1" customWidth="1"/>
    <col min="7" max="7" width="0.88671875" style="2" customWidth="1"/>
    <col min="8" max="16384" width="9.109375" style="2" hidden="1"/>
  </cols>
  <sheetData>
    <row r="1" spans="1:6" s="1" customFormat="1" ht="20.100000000000001" customHeight="1" thickBot="1" x14ac:dyDescent="0.3">
      <c r="A1" s="576" t="s">
        <v>4155</v>
      </c>
      <c r="B1" s="577"/>
      <c r="C1" s="586" t="s">
        <v>285</v>
      </c>
      <c r="D1" s="586"/>
    </row>
    <row r="2" spans="1:6" s="3" customFormat="1" ht="39.9" customHeight="1" thickBot="1" x14ac:dyDescent="0.3">
      <c r="A2" s="551" t="s">
        <v>3775</v>
      </c>
      <c r="B2" s="552"/>
      <c r="C2" s="582" t="str">
        <f>IF(RefStr!K12-RefStr!K10 &lt; 32,"Obveze
(VP 160)","Obveze
(VP 159)")</f>
        <v>Obveze
(VP 159)</v>
      </c>
      <c r="D2" s="583"/>
    </row>
    <row r="3" spans="1:6" ht="30" customHeight="1" x14ac:dyDescent="0.25">
      <c r="A3" s="584" t="str">
        <f>IF(RefStr!F6&lt;&gt;"",IF(OR(RefStr!K12-RefStr!K10 &lt; 32),LOOKUP(RefStr!F6,RefStr!N40:N64,RefStr!O40:O64),LOOKUP(RefStr!F6,RefStr!N40:N64,RefStr!P40:P64))," - razdoblje izvještavanja nije odabrano -")</f>
        <v>za razdoblje 1. listopada do 31. prosinca 2014. godine</v>
      </c>
      <c r="B3" s="585"/>
      <c r="C3" s="2"/>
      <c r="D3" s="2"/>
    </row>
    <row r="4" spans="1:6" s="4" customFormat="1" ht="15" customHeight="1" x14ac:dyDescent="0.25">
      <c r="A4" s="59" t="s">
        <v>3293</v>
      </c>
      <c r="B4" s="528" t="str">
        <f xml:space="preserve"> "RKP: " &amp; TEXT(INT(VALUE(RefStr!B6)),"00000") &amp; ",  " &amp; "MB: " &amp; TEXT(INT(VALUE(RefStr!B8)), "00000000") &amp; "  " &amp; RefStr!B10</f>
        <v>RKP: 281186,  MB: 02745658  OPĆINA SOKOLOVAC</v>
      </c>
      <c r="C4" s="529"/>
      <c r="D4" s="529"/>
      <c r="E4" s="529"/>
      <c r="F4" s="529"/>
    </row>
    <row r="5" spans="1:6" s="4" customFormat="1" ht="15" customHeight="1" x14ac:dyDescent="0.25">
      <c r="A5" s="62"/>
      <c r="B5" s="528" t="str">
        <f>RefStr!B12 &amp; " " &amp; RefStr!C12 &amp; ", " &amp; RefStr!B14</f>
        <v>48306 Sokolovac, Trg dr. Bardeka 8</v>
      </c>
      <c r="C5" s="529"/>
      <c r="D5" s="529"/>
      <c r="E5" s="529"/>
      <c r="F5" s="529"/>
    </row>
    <row r="6" spans="1:6" s="4" customFormat="1" ht="15" customHeight="1" x14ac:dyDescent="0.25">
      <c r="A6" s="63"/>
      <c r="B6" s="530" t="str">
        <f xml:space="preserve"> "Razina: " &amp; RefStr!B16 &amp; ", Razdjel: " &amp; TEXT(INT(VALUE(RefStr!B20)), "000")</f>
        <v>Razina: 22, Razdjel: 000</v>
      </c>
      <c r="C6" s="531"/>
      <c r="D6" s="531"/>
      <c r="E6" s="531"/>
      <c r="F6" s="531"/>
    </row>
    <row r="7" spans="1:6" s="4" customFormat="1" ht="15" customHeight="1" x14ac:dyDescent="0.25">
      <c r="A7" s="63"/>
      <c r="B7" s="530" t="str">
        <f>"Djelatnost: " &amp; RefStr!B18 &amp; " " &amp; RefStr!C18</f>
        <v>Djelatnost: 8411 Opće djelatnosti javne uprave</v>
      </c>
      <c r="C7" s="531"/>
      <c r="D7" s="531"/>
      <c r="E7" s="531"/>
      <c r="F7" s="531"/>
    </row>
    <row r="8" spans="1:6" ht="12.9" customHeight="1" x14ac:dyDescent="0.25">
      <c r="A8" s="2"/>
      <c r="B8" s="2"/>
      <c r="C8" s="2"/>
      <c r="D8" s="2"/>
    </row>
    <row r="9" spans="1:6" ht="12.9" customHeight="1" x14ac:dyDescent="0.25">
      <c r="A9" s="2"/>
      <c r="B9" s="2"/>
      <c r="C9" s="2"/>
      <c r="D9" s="12" t="s">
        <v>286</v>
      </c>
    </row>
    <row r="10" spans="1:6" ht="23.25" customHeight="1" x14ac:dyDescent="0.25">
      <c r="A10" s="19" t="s">
        <v>4069</v>
      </c>
      <c r="B10" s="21" t="s">
        <v>4502</v>
      </c>
      <c r="C10" s="21" t="s">
        <v>4501</v>
      </c>
      <c r="D10" s="19" t="s">
        <v>1539</v>
      </c>
    </row>
    <row r="11" spans="1:6" ht="12" customHeight="1" x14ac:dyDescent="0.25">
      <c r="A11" s="112">
        <v>1</v>
      </c>
      <c r="B11" s="113">
        <v>2</v>
      </c>
      <c r="C11" s="113">
        <v>3</v>
      </c>
      <c r="D11" s="113">
        <v>4</v>
      </c>
    </row>
    <row r="12" spans="1:6" ht="14.1" customHeight="1" x14ac:dyDescent="0.25">
      <c r="A12" s="348"/>
      <c r="B12" s="349" t="s">
        <v>4293</v>
      </c>
      <c r="C12" s="364">
        <v>1</v>
      </c>
      <c r="D12" s="350">
        <v>153148</v>
      </c>
    </row>
    <row r="13" spans="1:6" ht="14.1" customHeight="1" x14ac:dyDescent="0.25">
      <c r="A13" s="351"/>
      <c r="B13" s="352" t="s">
        <v>1768</v>
      </c>
      <c r="C13" s="365">
        <v>2</v>
      </c>
      <c r="D13" s="353">
        <f>D14+D15+D23+D24</f>
        <v>1163189</v>
      </c>
    </row>
    <row r="14" spans="1:6" ht="14.1" customHeight="1" x14ac:dyDescent="0.25">
      <c r="A14" s="351"/>
      <c r="B14" s="352" t="s">
        <v>1769</v>
      </c>
      <c r="C14" s="365">
        <v>3</v>
      </c>
      <c r="D14" s="354">
        <v>0</v>
      </c>
    </row>
    <row r="15" spans="1:6" ht="14.1" customHeight="1" x14ac:dyDescent="0.25">
      <c r="A15" s="351" t="s">
        <v>2895</v>
      </c>
      <c r="B15" s="352" t="s">
        <v>4294</v>
      </c>
      <c r="C15" s="365">
        <v>4</v>
      </c>
      <c r="D15" s="353">
        <f>SUM(D16:D22)</f>
        <v>1112526</v>
      </c>
    </row>
    <row r="16" spans="1:6" ht="14.1" customHeight="1" x14ac:dyDescent="0.25">
      <c r="A16" s="355" t="s">
        <v>2896</v>
      </c>
      <c r="B16" s="360" t="s">
        <v>2897</v>
      </c>
      <c r="C16" s="365">
        <v>5</v>
      </c>
      <c r="D16" s="354">
        <v>110475</v>
      </c>
    </row>
    <row r="17" spans="1:4" ht="14.1" customHeight="1" x14ac:dyDescent="0.25">
      <c r="A17" s="355" t="s">
        <v>2898</v>
      </c>
      <c r="B17" s="360" t="s">
        <v>2899</v>
      </c>
      <c r="C17" s="365">
        <v>6</v>
      </c>
      <c r="D17" s="354">
        <v>251762</v>
      </c>
    </row>
    <row r="18" spans="1:4" ht="14.1" customHeight="1" x14ac:dyDescent="0.25">
      <c r="A18" s="355" t="s">
        <v>2900</v>
      </c>
      <c r="B18" s="360" t="s">
        <v>2901</v>
      </c>
      <c r="C18" s="365">
        <v>7</v>
      </c>
      <c r="D18" s="354">
        <v>3406</v>
      </c>
    </row>
    <row r="19" spans="1:4" ht="14.1" customHeight="1" x14ac:dyDescent="0.25">
      <c r="A19" s="355" t="s">
        <v>2902</v>
      </c>
      <c r="B19" s="360" t="s">
        <v>2903</v>
      </c>
      <c r="C19" s="365">
        <v>8</v>
      </c>
      <c r="D19" s="354">
        <v>48749</v>
      </c>
    </row>
    <row r="20" spans="1:4" ht="14.1" customHeight="1" x14ac:dyDescent="0.25">
      <c r="A20" s="355" t="s">
        <v>1726</v>
      </c>
      <c r="B20" s="361" t="s">
        <v>1727</v>
      </c>
      <c r="C20" s="365">
        <v>9</v>
      </c>
      <c r="D20" s="354">
        <v>0</v>
      </c>
    </row>
    <row r="21" spans="1:4" ht="14.1" customHeight="1" x14ac:dyDescent="0.25">
      <c r="A21" s="355" t="s">
        <v>2904</v>
      </c>
      <c r="B21" s="361" t="s">
        <v>2905</v>
      </c>
      <c r="C21" s="365">
        <v>10</v>
      </c>
      <c r="D21" s="354">
        <v>185419</v>
      </c>
    </row>
    <row r="22" spans="1:4" ht="14.1" customHeight="1" x14ac:dyDescent="0.25">
      <c r="A22" s="355">
        <v>238.239</v>
      </c>
      <c r="B22" s="361" t="s">
        <v>1101</v>
      </c>
      <c r="C22" s="365">
        <v>11</v>
      </c>
      <c r="D22" s="354">
        <v>512715</v>
      </c>
    </row>
    <row r="23" spans="1:4" ht="14.1" customHeight="1" x14ac:dyDescent="0.25">
      <c r="A23" s="351" t="s">
        <v>2909</v>
      </c>
      <c r="B23" s="352" t="s">
        <v>2910</v>
      </c>
      <c r="C23" s="365">
        <v>12</v>
      </c>
      <c r="D23" s="354">
        <v>50663</v>
      </c>
    </row>
    <row r="24" spans="1:4" ht="14.1" customHeight="1" x14ac:dyDescent="0.25">
      <c r="A24" s="351" t="s">
        <v>4295</v>
      </c>
      <c r="B24" s="352" t="s">
        <v>4296</v>
      </c>
      <c r="C24" s="365">
        <v>13</v>
      </c>
      <c r="D24" s="353">
        <f>SUM(D25:D29)</f>
        <v>0</v>
      </c>
    </row>
    <row r="25" spans="1:4" ht="14.1" customHeight="1" x14ac:dyDescent="0.25">
      <c r="A25" s="351">
        <v>251.25299999999999</v>
      </c>
      <c r="B25" s="360" t="s">
        <v>1100</v>
      </c>
      <c r="C25" s="365">
        <v>14</v>
      </c>
      <c r="D25" s="354">
        <v>0</v>
      </c>
    </row>
    <row r="26" spans="1:4" ht="14.1" customHeight="1" x14ac:dyDescent="0.25">
      <c r="A26" s="351" t="s">
        <v>4297</v>
      </c>
      <c r="B26" s="360" t="s">
        <v>4181</v>
      </c>
      <c r="C26" s="365">
        <v>15</v>
      </c>
      <c r="D26" s="354">
        <v>0</v>
      </c>
    </row>
    <row r="27" spans="1:4" ht="14.1" customHeight="1" x14ac:dyDescent="0.25">
      <c r="A27" s="351" t="s">
        <v>4298</v>
      </c>
      <c r="B27" s="360" t="s">
        <v>4185</v>
      </c>
      <c r="C27" s="365">
        <v>16</v>
      </c>
      <c r="D27" s="354">
        <v>0</v>
      </c>
    </row>
    <row r="28" spans="1:4" ht="21" customHeight="1" x14ac:dyDescent="0.25">
      <c r="A28" s="368" t="s">
        <v>3448</v>
      </c>
      <c r="B28" s="360" t="s">
        <v>1099</v>
      </c>
      <c r="C28" s="365">
        <v>17</v>
      </c>
      <c r="D28" s="354">
        <v>0</v>
      </c>
    </row>
    <row r="29" spans="1:4" ht="21" customHeight="1" x14ac:dyDescent="0.25">
      <c r="A29" s="368" t="s">
        <v>3776</v>
      </c>
      <c r="B29" s="360" t="s">
        <v>1098</v>
      </c>
      <c r="C29" s="365">
        <v>18</v>
      </c>
      <c r="D29" s="354">
        <v>0</v>
      </c>
    </row>
    <row r="30" spans="1:4" ht="14.1" customHeight="1" x14ac:dyDescent="0.25">
      <c r="A30" s="355"/>
      <c r="B30" s="352" t="s">
        <v>4299</v>
      </c>
      <c r="C30" s="365">
        <v>19</v>
      </c>
      <c r="D30" s="353">
        <f>D31+D32+D40+D41</f>
        <v>925266</v>
      </c>
    </row>
    <row r="31" spans="1:4" ht="14.1" customHeight="1" x14ac:dyDescent="0.25">
      <c r="A31" s="355"/>
      <c r="B31" s="352" t="s">
        <v>1769</v>
      </c>
      <c r="C31" s="365">
        <v>20</v>
      </c>
      <c r="D31" s="354">
        <v>0</v>
      </c>
    </row>
    <row r="32" spans="1:4" ht="14.1" customHeight="1" x14ac:dyDescent="0.25">
      <c r="A32" s="355" t="s">
        <v>2895</v>
      </c>
      <c r="B32" s="352" t="s">
        <v>4300</v>
      </c>
      <c r="C32" s="365">
        <v>21</v>
      </c>
      <c r="D32" s="353">
        <f>SUM(D33:D39)</f>
        <v>917266</v>
      </c>
    </row>
    <row r="33" spans="1:4" ht="14.1" customHeight="1" x14ac:dyDescent="0.25">
      <c r="A33" s="355" t="s">
        <v>2896</v>
      </c>
      <c r="B33" s="360" t="s">
        <v>2897</v>
      </c>
      <c r="C33" s="365">
        <v>22</v>
      </c>
      <c r="D33" s="354">
        <v>111242</v>
      </c>
    </row>
    <row r="34" spans="1:4" ht="14.1" customHeight="1" x14ac:dyDescent="0.25">
      <c r="A34" s="355" t="s">
        <v>2898</v>
      </c>
      <c r="B34" s="360" t="s">
        <v>2899</v>
      </c>
      <c r="C34" s="365">
        <v>23</v>
      </c>
      <c r="D34" s="354">
        <v>244608</v>
      </c>
    </row>
    <row r="35" spans="1:4" ht="14.1" customHeight="1" x14ac:dyDescent="0.25">
      <c r="A35" s="355" t="s">
        <v>2900</v>
      </c>
      <c r="B35" s="360" t="s">
        <v>2901</v>
      </c>
      <c r="C35" s="365">
        <v>24</v>
      </c>
      <c r="D35" s="354">
        <v>3789</v>
      </c>
    </row>
    <row r="36" spans="1:4" ht="14.1" customHeight="1" x14ac:dyDescent="0.25">
      <c r="A36" s="355" t="s">
        <v>2902</v>
      </c>
      <c r="B36" s="360" t="s">
        <v>2903</v>
      </c>
      <c r="C36" s="365">
        <v>25</v>
      </c>
      <c r="D36" s="354">
        <v>49276</v>
      </c>
    </row>
    <row r="37" spans="1:4" ht="14.1" customHeight="1" x14ac:dyDescent="0.25">
      <c r="A37" s="355" t="s">
        <v>1726</v>
      </c>
      <c r="B37" s="360" t="s">
        <v>1727</v>
      </c>
      <c r="C37" s="365">
        <v>26</v>
      </c>
      <c r="D37" s="354">
        <v>0</v>
      </c>
    </row>
    <row r="38" spans="1:4" ht="14.1" customHeight="1" x14ac:dyDescent="0.25">
      <c r="A38" s="355" t="s">
        <v>2904</v>
      </c>
      <c r="B38" s="360" t="s">
        <v>2905</v>
      </c>
      <c r="C38" s="365">
        <v>27</v>
      </c>
      <c r="D38" s="354">
        <v>134419</v>
      </c>
    </row>
    <row r="39" spans="1:4" ht="14.1" customHeight="1" x14ac:dyDescent="0.25">
      <c r="A39" s="355">
        <v>238.239</v>
      </c>
      <c r="B39" s="360" t="s">
        <v>1101</v>
      </c>
      <c r="C39" s="365">
        <v>28</v>
      </c>
      <c r="D39" s="354">
        <v>373932</v>
      </c>
    </row>
    <row r="40" spans="1:4" ht="14.1" customHeight="1" x14ac:dyDescent="0.25">
      <c r="A40" s="357" t="s">
        <v>2909</v>
      </c>
      <c r="B40" s="352" t="s">
        <v>2910</v>
      </c>
      <c r="C40" s="365">
        <v>29</v>
      </c>
      <c r="D40" s="354">
        <v>8000</v>
      </c>
    </row>
    <row r="41" spans="1:4" ht="14.1" customHeight="1" x14ac:dyDescent="0.25">
      <c r="A41" s="357" t="s">
        <v>4295</v>
      </c>
      <c r="B41" s="352" t="s">
        <v>4301</v>
      </c>
      <c r="C41" s="365">
        <v>30</v>
      </c>
      <c r="D41" s="353">
        <f>SUM(D42:D46)</f>
        <v>0</v>
      </c>
    </row>
    <row r="42" spans="1:4" ht="14.1" customHeight="1" x14ac:dyDescent="0.25">
      <c r="A42" s="356">
        <v>251.25299999999999</v>
      </c>
      <c r="B42" s="360" t="s">
        <v>1100</v>
      </c>
      <c r="C42" s="365">
        <v>31</v>
      </c>
      <c r="D42" s="354">
        <v>0</v>
      </c>
    </row>
    <row r="43" spans="1:4" ht="14.1" customHeight="1" x14ac:dyDescent="0.25">
      <c r="A43" s="356" t="s">
        <v>4297</v>
      </c>
      <c r="B43" s="360" t="s">
        <v>4181</v>
      </c>
      <c r="C43" s="365">
        <v>32</v>
      </c>
      <c r="D43" s="354">
        <v>0</v>
      </c>
    </row>
    <row r="44" spans="1:4" ht="14.1" customHeight="1" x14ac:dyDescent="0.25">
      <c r="A44" s="355" t="s">
        <v>4298</v>
      </c>
      <c r="B44" s="360" t="s">
        <v>4185</v>
      </c>
      <c r="C44" s="365">
        <v>33</v>
      </c>
      <c r="D44" s="354">
        <v>0</v>
      </c>
    </row>
    <row r="45" spans="1:4" ht="21" customHeight="1" x14ac:dyDescent="0.25">
      <c r="A45" s="368" t="s">
        <v>3449</v>
      </c>
      <c r="B45" s="360" t="s">
        <v>1099</v>
      </c>
      <c r="C45" s="365">
        <v>34</v>
      </c>
      <c r="D45" s="354">
        <v>0</v>
      </c>
    </row>
    <row r="46" spans="1:4" ht="21" customHeight="1" x14ac:dyDescent="0.25">
      <c r="A46" s="369" t="s">
        <v>3776</v>
      </c>
      <c r="B46" s="360" t="s">
        <v>1098</v>
      </c>
      <c r="C46" s="365">
        <v>35</v>
      </c>
      <c r="D46" s="354">
        <v>0</v>
      </c>
    </row>
    <row r="47" spans="1:4" ht="14.1" customHeight="1" x14ac:dyDescent="0.25">
      <c r="A47" s="356"/>
      <c r="B47" s="352" t="s">
        <v>4302</v>
      </c>
      <c r="C47" s="365">
        <v>36</v>
      </c>
      <c r="D47" s="353">
        <f>D12+D13-D30</f>
        <v>391071</v>
      </c>
    </row>
    <row r="48" spans="1:4" ht="14.1" customHeight="1" x14ac:dyDescent="0.25">
      <c r="A48" s="358"/>
      <c r="B48" s="352" t="s">
        <v>1102</v>
      </c>
      <c r="C48" s="365">
        <v>37</v>
      </c>
      <c r="D48" s="353">
        <f>D49+D54+D90+D95</f>
        <v>192950</v>
      </c>
    </row>
    <row r="49" spans="1:4" ht="14.1" customHeight="1" x14ac:dyDescent="0.25">
      <c r="A49" s="356"/>
      <c r="B49" s="352" t="s">
        <v>4303</v>
      </c>
      <c r="C49" s="365">
        <v>38</v>
      </c>
      <c r="D49" s="353">
        <f>SUM(D50:D53)</f>
        <v>0</v>
      </c>
    </row>
    <row r="50" spans="1:4" ht="14.1" customHeight="1" x14ac:dyDescent="0.25">
      <c r="A50" s="351"/>
      <c r="B50" s="360" t="s">
        <v>1103</v>
      </c>
      <c r="C50" s="365">
        <v>39</v>
      </c>
      <c r="D50" s="354">
        <v>0</v>
      </c>
    </row>
    <row r="51" spans="1:4" ht="14.1" customHeight="1" x14ac:dyDescent="0.25">
      <c r="A51" s="355"/>
      <c r="B51" s="360" t="s">
        <v>1104</v>
      </c>
      <c r="C51" s="365">
        <v>40</v>
      </c>
      <c r="D51" s="354">
        <v>0</v>
      </c>
    </row>
    <row r="52" spans="1:4" ht="14.1" customHeight="1" x14ac:dyDescent="0.25">
      <c r="A52" s="355"/>
      <c r="B52" s="360" t="s">
        <v>1105</v>
      </c>
      <c r="C52" s="365">
        <v>41</v>
      </c>
      <c r="D52" s="354">
        <v>0</v>
      </c>
    </row>
    <row r="53" spans="1:4" ht="14.1" customHeight="1" x14ac:dyDescent="0.25">
      <c r="A53" s="355"/>
      <c r="B53" s="360" t="s">
        <v>1106</v>
      </c>
      <c r="C53" s="365">
        <v>42</v>
      </c>
      <c r="D53" s="354">
        <v>0</v>
      </c>
    </row>
    <row r="54" spans="1:4" ht="14.1" customHeight="1" x14ac:dyDescent="0.25">
      <c r="A54" s="351" t="s">
        <v>2895</v>
      </c>
      <c r="B54" s="352" t="s">
        <v>4304</v>
      </c>
      <c r="C54" s="365">
        <v>43</v>
      </c>
      <c r="D54" s="353">
        <f>D55+D60+D65+D70+D75+D80+D85</f>
        <v>191760</v>
      </c>
    </row>
    <row r="55" spans="1:4" ht="14.1" customHeight="1" x14ac:dyDescent="0.25">
      <c r="A55" s="351" t="s">
        <v>2896</v>
      </c>
      <c r="B55" s="352" t="s">
        <v>4305</v>
      </c>
      <c r="C55" s="365">
        <v>44</v>
      </c>
      <c r="D55" s="353">
        <f>SUM(D56:D59)</f>
        <v>0</v>
      </c>
    </row>
    <row r="56" spans="1:4" ht="14.1" customHeight="1" x14ac:dyDescent="0.25">
      <c r="A56" s="356"/>
      <c r="B56" s="360" t="s">
        <v>1103</v>
      </c>
      <c r="C56" s="365">
        <v>45</v>
      </c>
      <c r="D56" s="354">
        <v>0</v>
      </c>
    </row>
    <row r="57" spans="1:4" ht="14.1" customHeight="1" x14ac:dyDescent="0.25">
      <c r="A57" s="356"/>
      <c r="B57" s="360" t="s">
        <v>1104</v>
      </c>
      <c r="C57" s="365">
        <v>46</v>
      </c>
      <c r="D57" s="354">
        <v>0</v>
      </c>
    </row>
    <row r="58" spans="1:4" ht="14.1" customHeight="1" x14ac:dyDescent="0.25">
      <c r="A58" s="357"/>
      <c r="B58" s="360" t="s">
        <v>1105</v>
      </c>
      <c r="C58" s="365">
        <v>47</v>
      </c>
      <c r="D58" s="354">
        <v>0</v>
      </c>
    </row>
    <row r="59" spans="1:4" ht="14.1" customHeight="1" x14ac:dyDescent="0.25">
      <c r="A59" s="356"/>
      <c r="B59" s="360" t="s">
        <v>1106</v>
      </c>
      <c r="C59" s="365">
        <v>48</v>
      </c>
      <c r="D59" s="354">
        <v>0</v>
      </c>
    </row>
    <row r="60" spans="1:4" ht="14.1" customHeight="1" x14ac:dyDescent="0.25">
      <c r="A60" s="351" t="s">
        <v>2898</v>
      </c>
      <c r="B60" s="352" t="s">
        <v>4306</v>
      </c>
      <c r="C60" s="365">
        <v>49</v>
      </c>
      <c r="D60" s="353">
        <f>SUM(D61:D64)</f>
        <v>7702</v>
      </c>
    </row>
    <row r="61" spans="1:4" ht="14.1" customHeight="1" x14ac:dyDescent="0.25">
      <c r="A61" s="355"/>
      <c r="B61" s="360" t="s">
        <v>1103</v>
      </c>
      <c r="C61" s="365">
        <v>50</v>
      </c>
      <c r="D61" s="354">
        <v>7702</v>
      </c>
    </row>
    <row r="62" spans="1:4" ht="14.1" customHeight="1" x14ac:dyDescent="0.25">
      <c r="A62" s="355"/>
      <c r="B62" s="360" t="s">
        <v>1104</v>
      </c>
      <c r="C62" s="365">
        <v>51</v>
      </c>
      <c r="D62" s="354">
        <v>0</v>
      </c>
    </row>
    <row r="63" spans="1:4" ht="14.1" customHeight="1" x14ac:dyDescent="0.25">
      <c r="A63" s="355"/>
      <c r="B63" s="360" t="s">
        <v>1105</v>
      </c>
      <c r="C63" s="365">
        <v>52</v>
      </c>
      <c r="D63" s="354">
        <v>0</v>
      </c>
    </row>
    <row r="64" spans="1:4" ht="14.1" customHeight="1" x14ac:dyDescent="0.25">
      <c r="A64" s="355"/>
      <c r="B64" s="360" t="s">
        <v>1106</v>
      </c>
      <c r="C64" s="365">
        <v>53</v>
      </c>
      <c r="D64" s="354">
        <v>0</v>
      </c>
    </row>
    <row r="65" spans="1:4" ht="14.1" customHeight="1" x14ac:dyDescent="0.25">
      <c r="A65" s="351" t="s">
        <v>2900</v>
      </c>
      <c r="B65" s="352" t="s">
        <v>4307</v>
      </c>
      <c r="C65" s="365">
        <v>54</v>
      </c>
      <c r="D65" s="353">
        <f>SUM(D66:D69)</f>
        <v>0</v>
      </c>
    </row>
    <row r="66" spans="1:4" ht="14.1" customHeight="1" x14ac:dyDescent="0.25">
      <c r="A66" s="356"/>
      <c r="B66" s="360" t="s">
        <v>1103</v>
      </c>
      <c r="C66" s="365">
        <v>55</v>
      </c>
      <c r="D66" s="354">
        <v>0</v>
      </c>
    </row>
    <row r="67" spans="1:4" ht="14.1" customHeight="1" x14ac:dyDescent="0.25">
      <c r="A67" s="356"/>
      <c r="B67" s="360" t="s">
        <v>1104</v>
      </c>
      <c r="C67" s="365">
        <v>56</v>
      </c>
      <c r="D67" s="354">
        <v>0</v>
      </c>
    </row>
    <row r="68" spans="1:4" ht="14.1" customHeight="1" x14ac:dyDescent="0.25">
      <c r="A68" s="357"/>
      <c r="B68" s="360" t="s">
        <v>1105</v>
      </c>
      <c r="C68" s="365">
        <v>57</v>
      </c>
      <c r="D68" s="354">
        <v>0</v>
      </c>
    </row>
    <row r="69" spans="1:4" ht="14.1" customHeight="1" x14ac:dyDescent="0.25">
      <c r="A69" s="356"/>
      <c r="B69" s="360" t="s">
        <v>1106</v>
      </c>
      <c r="C69" s="365">
        <v>58</v>
      </c>
      <c r="D69" s="354">
        <v>0</v>
      </c>
    </row>
    <row r="70" spans="1:4" ht="14.1" customHeight="1" x14ac:dyDescent="0.25">
      <c r="A70" s="351" t="s">
        <v>2902</v>
      </c>
      <c r="B70" s="352" t="s">
        <v>4308</v>
      </c>
      <c r="C70" s="365">
        <v>59</v>
      </c>
      <c r="D70" s="353">
        <f>SUM(D71:D74)</f>
        <v>15864</v>
      </c>
    </row>
    <row r="71" spans="1:4" ht="14.1" customHeight="1" x14ac:dyDescent="0.25">
      <c r="A71" s="355"/>
      <c r="B71" s="360" t="s">
        <v>1103</v>
      </c>
      <c r="C71" s="365">
        <v>60</v>
      </c>
      <c r="D71" s="354">
        <v>15864</v>
      </c>
    </row>
    <row r="72" spans="1:4" ht="14.1" customHeight="1" x14ac:dyDescent="0.25">
      <c r="A72" s="355"/>
      <c r="B72" s="360" t="s">
        <v>1104</v>
      </c>
      <c r="C72" s="365">
        <v>61</v>
      </c>
      <c r="D72" s="354">
        <v>0</v>
      </c>
    </row>
    <row r="73" spans="1:4" ht="14.1" customHeight="1" x14ac:dyDescent="0.25">
      <c r="A73" s="355"/>
      <c r="B73" s="360" t="s">
        <v>1105</v>
      </c>
      <c r="C73" s="365">
        <v>62</v>
      </c>
      <c r="D73" s="354">
        <v>0</v>
      </c>
    </row>
    <row r="74" spans="1:4" ht="14.1" customHeight="1" x14ac:dyDescent="0.25">
      <c r="A74" s="355"/>
      <c r="B74" s="360" t="s">
        <v>1106</v>
      </c>
      <c r="C74" s="365">
        <v>63</v>
      </c>
      <c r="D74" s="354">
        <v>0</v>
      </c>
    </row>
    <row r="75" spans="1:4" ht="14.1" customHeight="1" x14ac:dyDescent="0.25">
      <c r="A75" s="351" t="s">
        <v>1726</v>
      </c>
      <c r="B75" s="352" t="s">
        <v>4309</v>
      </c>
      <c r="C75" s="365">
        <v>64</v>
      </c>
      <c r="D75" s="353">
        <f>SUM(D76:D79)</f>
        <v>0</v>
      </c>
    </row>
    <row r="76" spans="1:4" ht="14.1" customHeight="1" x14ac:dyDescent="0.25">
      <c r="A76" s="355"/>
      <c r="B76" s="360" t="s">
        <v>1103</v>
      </c>
      <c r="C76" s="365">
        <v>65</v>
      </c>
      <c r="D76" s="354">
        <v>0</v>
      </c>
    </row>
    <row r="77" spans="1:4" ht="14.1" customHeight="1" x14ac:dyDescent="0.25">
      <c r="A77" s="355"/>
      <c r="B77" s="360" t="s">
        <v>1104</v>
      </c>
      <c r="C77" s="365">
        <v>66</v>
      </c>
      <c r="D77" s="354">
        <v>0</v>
      </c>
    </row>
    <row r="78" spans="1:4" ht="14.1" customHeight="1" x14ac:dyDescent="0.25">
      <c r="A78" s="355"/>
      <c r="B78" s="360" t="s">
        <v>1105</v>
      </c>
      <c r="C78" s="365">
        <v>67</v>
      </c>
      <c r="D78" s="354">
        <v>0</v>
      </c>
    </row>
    <row r="79" spans="1:4" ht="14.1" customHeight="1" x14ac:dyDescent="0.25">
      <c r="A79" s="355"/>
      <c r="B79" s="360" t="s">
        <v>1106</v>
      </c>
      <c r="C79" s="365">
        <v>68</v>
      </c>
      <c r="D79" s="354">
        <v>0</v>
      </c>
    </row>
    <row r="80" spans="1:4" ht="14.1" customHeight="1" x14ac:dyDescent="0.25">
      <c r="A80" s="351" t="s">
        <v>2904</v>
      </c>
      <c r="B80" s="352" t="s">
        <v>4310</v>
      </c>
      <c r="C80" s="365">
        <v>69</v>
      </c>
      <c r="D80" s="353">
        <f>SUM(D81:D84)</f>
        <v>6618</v>
      </c>
    </row>
    <row r="81" spans="1:4" ht="14.1" customHeight="1" x14ac:dyDescent="0.25">
      <c r="A81" s="356"/>
      <c r="B81" s="360" t="s">
        <v>1103</v>
      </c>
      <c r="C81" s="365">
        <v>70</v>
      </c>
      <c r="D81" s="354">
        <v>6618</v>
      </c>
    </row>
    <row r="82" spans="1:4" ht="14.1" customHeight="1" x14ac:dyDescent="0.25">
      <c r="A82" s="356"/>
      <c r="B82" s="360" t="s">
        <v>1104</v>
      </c>
      <c r="C82" s="365">
        <v>71</v>
      </c>
      <c r="D82" s="354">
        <v>0</v>
      </c>
    </row>
    <row r="83" spans="1:4" ht="14.1" customHeight="1" x14ac:dyDescent="0.25">
      <c r="A83" s="356"/>
      <c r="B83" s="360" t="s">
        <v>1105</v>
      </c>
      <c r="C83" s="365">
        <v>72</v>
      </c>
      <c r="D83" s="354">
        <v>0</v>
      </c>
    </row>
    <row r="84" spans="1:4" ht="14.1" customHeight="1" x14ac:dyDescent="0.25">
      <c r="A84" s="357"/>
      <c r="B84" s="360" t="s">
        <v>1106</v>
      </c>
      <c r="C84" s="365">
        <v>73</v>
      </c>
      <c r="D84" s="354">
        <v>0</v>
      </c>
    </row>
    <row r="85" spans="1:4" ht="14.1" customHeight="1" x14ac:dyDescent="0.25">
      <c r="A85" s="351">
        <v>238.239</v>
      </c>
      <c r="B85" s="367" t="s">
        <v>3560</v>
      </c>
      <c r="C85" s="365">
        <v>74</v>
      </c>
      <c r="D85" s="353">
        <f>SUM(D86:D89)</f>
        <v>161576</v>
      </c>
    </row>
    <row r="86" spans="1:4" ht="14.1" customHeight="1" x14ac:dyDescent="0.25">
      <c r="A86" s="351"/>
      <c r="B86" s="360" t="s">
        <v>1103</v>
      </c>
      <c r="C86" s="365">
        <v>75</v>
      </c>
      <c r="D86" s="354">
        <v>158132</v>
      </c>
    </row>
    <row r="87" spans="1:4" ht="14.1" customHeight="1" x14ac:dyDescent="0.25">
      <c r="A87" s="351"/>
      <c r="B87" s="360" t="s">
        <v>1104</v>
      </c>
      <c r="C87" s="365">
        <v>76</v>
      </c>
      <c r="D87" s="354">
        <v>0</v>
      </c>
    </row>
    <row r="88" spans="1:4" ht="14.1" customHeight="1" x14ac:dyDescent="0.25">
      <c r="A88" s="351"/>
      <c r="B88" s="360" t="s">
        <v>1105</v>
      </c>
      <c r="C88" s="365">
        <v>77</v>
      </c>
      <c r="D88" s="354">
        <v>0</v>
      </c>
    </row>
    <row r="89" spans="1:4" ht="14.1" customHeight="1" x14ac:dyDescent="0.25">
      <c r="A89" s="351"/>
      <c r="B89" s="360" t="s">
        <v>1106</v>
      </c>
      <c r="C89" s="365">
        <v>78</v>
      </c>
      <c r="D89" s="354">
        <v>3444</v>
      </c>
    </row>
    <row r="90" spans="1:4" ht="14.1" customHeight="1" x14ac:dyDescent="0.25">
      <c r="A90" s="351" t="s">
        <v>2909</v>
      </c>
      <c r="B90" s="352" t="s">
        <v>4311</v>
      </c>
      <c r="C90" s="365">
        <v>79</v>
      </c>
      <c r="D90" s="353">
        <f>SUM(D91:D94)</f>
        <v>1190</v>
      </c>
    </row>
    <row r="91" spans="1:4" ht="14.1" customHeight="1" x14ac:dyDescent="0.25">
      <c r="A91" s="351"/>
      <c r="B91" s="360" t="s">
        <v>1103</v>
      </c>
      <c r="C91" s="365">
        <v>80</v>
      </c>
      <c r="D91" s="354">
        <v>0</v>
      </c>
    </row>
    <row r="92" spans="1:4" ht="14.1" customHeight="1" x14ac:dyDescent="0.25">
      <c r="A92" s="351"/>
      <c r="B92" s="360" t="s">
        <v>1104</v>
      </c>
      <c r="C92" s="365">
        <v>81</v>
      </c>
      <c r="D92" s="354">
        <v>0</v>
      </c>
    </row>
    <row r="93" spans="1:4" ht="14.1" customHeight="1" x14ac:dyDescent="0.25">
      <c r="A93" s="356"/>
      <c r="B93" s="360" t="s">
        <v>1105</v>
      </c>
      <c r="C93" s="365">
        <v>82</v>
      </c>
      <c r="D93" s="354">
        <v>0</v>
      </c>
    </row>
    <row r="94" spans="1:4" ht="14.1" customHeight="1" x14ac:dyDescent="0.25">
      <c r="A94" s="356"/>
      <c r="B94" s="360" t="s">
        <v>1106</v>
      </c>
      <c r="C94" s="365">
        <v>83</v>
      </c>
      <c r="D94" s="354">
        <v>1190</v>
      </c>
    </row>
    <row r="95" spans="1:4" ht="14.1" customHeight="1" x14ac:dyDescent="0.25">
      <c r="A95" s="357" t="s">
        <v>4295</v>
      </c>
      <c r="B95" s="352" t="s">
        <v>4312</v>
      </c>
      <c r="C95" s="365">
        <v>84</v>
      </c>
      <c r="D95" s="353">
        <f>SUM(D96:D100)</f>
        <v>0</v>
      </c>
    </row>
    <row r="96" spans="1:4" ht="14.1" customHeight="1" x14ac:dyDescent="0.25">
      <c r="A96" s="355">
        <v>251.25299999999999</v>
      </c>
      <c r="B96" s="360" t="s">
        <v>1100</v>
      </c>
      <c r="C96" s="365">
        <v>85</v>
      </c>
      <c r="D96" s="354">
        <v>0</v>
      </c>
    </row>
    <row r="97" spans="1:4" ht="14.1" customHeight="1" x14ac:dyDescent="0.25">
      <c r="A97" s="355" t="s">
        <v>4297</v>
      </c>
      <c r="B97" s="360" t="s">
        <v>4181</v>
      </c>
      <c r="C97" s="365">
        <v>86</v>
      </c>
      <c r="D97" s="354">
        <v>0</v>
      </c>
    </row>
    <row r="98" spans="1:4" ht="14.1" customHeight="1" x14ac:dyDescent="0.25">
      <c r="A98" s="355" t="s">
        <v>4298</v>
      </c>
      <c r="B98" s="360" t="s">
        <v>4185</v>
      </c>
      <c r="C98" s="365">
        <v>87</v>
      </c>
      <c r="D98" s="354">
        <v>0</v>
      </c>
    </row>
    <row r="99" spans="1:4" ht="21" customHeight="1" x14ac:dyDescent="0.25">
      <c r="A99" s="368" t="s">
        <v>3449</v>
      </c>
      <c r="B99" s="360" t="s">
        <v>1099</v>
      </c>
      <c r="C99" s="365">
        <v>88</v>
      </c>
      <c r="D99" s="354">
        <v>0</v>
      </c>
    </row>
    <row r="100" spans="1:4" ht="21" customHeight="1" x14ac:dyDescent="0.25">
      <c r="A100" s="368" t="s">
        <v>3776</v>
      </c>
      <c r="B100" s="360" t="s">
        <v>1098</v>
      </c>
      <c r="C100" s="365">
        <v>89</v>
      </c>
      <c r="D100" s="354">
        <v>0</v>
      </c>
    </row>
    <row r="101" spans="1:4" ht="14.1" customHeight="1" x14ac:dyDescent="0.25">
      <c r="A101" s="351"/>
      <c r="B101" s="352" t="s">
        <v>4313</v>
      </c>
      <c r="C101" s="365">
        <v>90</v>
      </c>
      <c r="D101" s="353">
        <f>SUM(D102:D105)</f>
        <v>198122</v>
      </c>
    </row>
    <row r="102" spans="1:4" ht="14.1" customHeight="1" x14ac:dyDescent="0.25">
      <c r="A102" s="355"/>
      <c r="B102" s="360" t="s">
        <v>1769</v>
      </c>
      <c r="C102" s="365">
        <v>91</v>
      </c>
      <c r="D102" s="354">
        <v>0</v>
      </c>
    </row>
    <row r="103" spans="1:4" ht="14.1" customHeight="1" x14ac:dyDescent="0.25">
      <c r="A103" s="355" t="s">
        <v>2895</v>
      </c>
      <c r="B103" s="360" t="s">
        <v>2505</v>
      </c>
      <c r="C103" s="365">
        <v>92</v>
      </c>
      <c r="D103" s="354">
        <v>144909</v>
      </c>
    </row>
    <row r="104" spans="1:4" ht="14.1" customHeight="1" x14ac:dyDescent="0.25">
      <c r="A104" s="355" t="s">
        <v>2909</v>
      </c>
      <c r="B104" s="360" t="s">
        <v>2910</v>
      </c>
      <c r="C104" s="365">
        <v>93</v>
      </c>
      <c r="D104" s="354">
        <v>53213</v>
      </c>
    </row>
    <row r="105" spans="1:4" ht="14.1" customHeight="1" x14ac:dyDescent="0.25">
      <c r="A105" s="363" t="s">
        <v>4295</v>
      </c>
      <c r="B105" s="362" t="s">
        <v>1107</v>
      </c>
      <c r="C105" s="366">
        <v>94</v>
      </c>
      <c r="D105" s="359">
        <v>0</v>
      </c>
    </row>
    <row r="106" spans="1:4" ht="15" customHeight="1" x14ac:dyDescent="0.25"/>
    <row r="107" spans="1:4" x14ac:dyDescent="0.25">
      <c r="A107" s="4" t="str">
        <f xml:space="preserve"> "Zakonski predstavnik: " &amp; RefStr!H33</f>
        <v>Zakonski predstavnik: Vlado Bakšaj</v>
      </c>
    </row>
    <row r="108" spans="1:4" x14ac:dyDescent="0.25">
      <c r="B108" s="161" t="s">
        <v>3984</v>
      </c>
    </row>
    <row r="109" spans="1:4" x14ac:dyDescent="0.25">
      <c r="D109" s="160" t="s">
        <v>3031</v>
      </c>
    </row>
    <row r="110" spans="1:4" x14ac:dyDescent="0.25">
      <c r="C110" s="161" t="s">
        <v>283</v>
      </c>
    </row>
    <row r="111" spans="1:4" ht="5.0999999999999996" customHeight="1" x14ac:dyDescent="0.25"/>
    <row r="112" spans="1:4"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sheetData>
  <sheetProtection password="C79A" sheet="1" objects="1" scenarios="1"/>
  <mergeCells count="9">
    <mergeCell ref="B5:F5"/>
    <mergeCell ref="B6:F6"/>
    <mergeCell ref="B7:F7"/>
    <mergeCell ref="A1:B1"/>
    <mergeCell ref="C2:D2"/>
    <mergeCell ref="A2:B2"/>
    <mergeCell ref="A3:B3"/>
    <mergeCell ref="C1:D1"/>
    <mergeCell ref="B4:F4"/>
  </mergeCells>
  <phoneticPr fontId="10" type="noConversion"/>
  <conditionalFormatting sqref="D12:D105">
    <cfRule type="cellIs" dxfId="5" priority="1"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5">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53"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r:id="rId1"/>
  <headerFooter alignWithMargins="0">
    <oddFooter>&amp;RStranica: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Skriveni</vt:lpstr>
      <vt:lpstr>Upute</vt:lpstr>
      <vt:lpstr>RefStr</vt:lpstr>
      <vt:lpstr>PRRAS</vt:lpstr>
      <vt:lpstr>NT</vt:lpstr>
      <vt:lpstr>RasF</vt:lpstr>
      <vt:lpstr>PVRIO</vt:lpstr>
      <vt:lpstr>Bil</vt:lpstr>
      <vt:lpstr>Obv</vt:lpstr>
      <vt:lpstr>SPRRAS</vt:lpstr>
      <vt:lpstr>Kont</vt:lpstr>
      <vt:lpstr>Sifre</vt:lpstr>
      <vt:lpstr>Prom</vt:lpstr>
      <vt:lpstr>Bil!Print_Area</vt:lpstr>
      <vt:lpstr>NT!Print_Area</vt:lpstr>
      <vt:lpstr>Obv!Print_Area</vt:lpstr>
      <vt:lpstr>Prom!Print_Area</vt:lpstr>
      <vt:lpstr>PRRAS!Print_Area</vt:lpstr>
      <vt:lpstr>PVRIO!Print_Area</vt:lpstr>
      <vt:lpstr>RasF!Print_Area</vt:lpstr>
      <vt:lpstr>RefStr!Print_Area</vt:lpstr>
      <vt:lpstr>Sifre!Print_Area</vt:lpstr>
      <vt:lpstr>SPRRAS!Print_Area</vt:lpstr>
      <vt:lpstr>Bil!Print_Titles</vt:lpstr>
      <vt:lpstr>NT!Print_Titles</vt:lpstr>
      <vt:lpstr>Obv!Print_Titles</vt:lpstr>
      <vt:lpstr>PRRAS!Print_Titles</vt:lpstr>
      <vt:lpstr>PVRIO!Print_Titles</vt:lpstr>
      <vt:lpstr>RasF!Print_Titles</vt:lpstr>
      <vt:lpstr>Sifre!Print_Titles</vt:lpstr>
      <vt:lpstr>SPRRAS!Print_Titles</vt:lpstr>
    </vt:vector>
  </TitlesOfParts>
  <Company>Zavod za platni promet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Server_statistike</dc:creator>
  <cp:lastModifiedBy>Ankica</cp:lastModifiedBy>
  <cp:lastPrinted>2015-02-13T11:52:34Z</cp:lastPrinted>
  <dcterms:created xsi:type="dcterms:W3CDTF">2001-11-21T09:32:18Z</dcterms:created>
  <dcterms:modified xsi:type="dcterms:W3CDTF">2015-02-13T11:58:49Z</dcterms:modified>
</cp:coreProperties>
</file>